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irectory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Currency" sheetId="4" state="visible" r:id="rId4"/>
    <sheet xmlns:r="http://schemas.openxmlformats.org/officeDocument/2006/relationships" name="Lists" sheetId="5" state="hidden" r:id="rId5"/>
    <sheet xmlns:r="http://schemas.openxmlformats.org/officeDocument/2006/relationships" name="Benchmarks" sheetId="6" state="visible" r:id="rId6"/>
    <sheet xmlns:r="http://schemas.openxmlformats.org/officeDocument/2006/relationships" name="T-C-01 Land Use" sheetId="7" state="visible" r:id="rId7"/>
    <sheet xmlns:r="http://schemas.openxmlformats.org/officeDocument/2006/relationships" name="T-C-02 Start-Up Capital" sheetId="8" state="visible" r:id="rId8"/>
    <sheet xmlns:r="http://schemas.openxmlformats.org/officeDocument/2006/relationships" name="T-C-03 Loan" sheetId="9" state="visible" r:id="rId9"/>
    <sheet xmlns:r="http://schemas.openxmlformats.org/officeDocument/2006/relationships" name="T-C-04 Cash Flow" sheetId="10" state="visible" r:id="rId10"/>
    <sheet xmlns:r="http://schemas.openxmlformats.org/officeDocument/2006/relationships" name="T-C-05 Delivered Cost" sheetId="11" state="visible" r:id="rId11"/>
    <sheet xmlns:r="http://schemas.openxmlformats.org/officeDocument/2006/relationships" name="T-C-06 Break-Even" sheetId="12" state="visible" r:id="rId12"/>
    <sheet xmlns:r="http://schemas.openxmlformats.org/officeDocument/2006/relationships" name="T-C-07 Risk Register" sheetId="13" state="visible" r:id="rId13"/>
    <sheet xmlns:r="http://schemas.openxmlformats.org/officeDocument/2006/relationships" name="T-C-08 People and Labour" sheetId="14" state="visible" r:id="rId14"/>
    <sheet xmlns:r="http://schemas.openxmlformats.org/officeDocument/2006/relationships" name="Enterprise Budget" sheetId="15" state="visible" r:id="rId15"/>
    <sheet xmlns:r="http://schemas.openxmlformats.org/officeDocument/2006/relationships" name="Input Plan" sheetId="16" state="visible" r:id="rId16"/>
    <sheet xmlns:r="http://schemas.openxmlformats.org/officeDocument/2006/relationships" name="Seed and Input Plan" sheetId="17" state="visible" r:id="rId17"/>
    <sheet xmlns:r="http://schemas.openxmlformats.org/officeDocument/2006/relationships" name="Yield-to-Income" sheetId="18" state="visible" r:id="rId18"/>
    <sheet xmlns:r="http://schemas.openxmlformats.org/officeDocument/2006/relationships" name="Storage vs Sell" sheetId="19" state="visible" r:id="rId19"/>
    <sheet xmlns:r="http://schemas.openxmlformats.org/officeDocument/2006/relationships" name="Establishment Cost" sheetId="20" state="visible" r:id="rId20"/>
    <sheet xmlns:r="http://schemas.openxmlformats.org/officeDocument/2006/relationships" name="Years-to-First-Income" sheetId="21" state="visible" r:id="rId21"/>
    <sheet xmlns:r="http://schemas.openxmlformats.org/officeDocument/2006/relationships" name="Export vs Local" sheetId="22" state="visible" r:id="rId22"/>
    <sheet xmlns:r="http://schemas.openxmlformats.org/officeDocument/2006/relationships" name="Planting Schedule" sheetId="23" state="visible" r:id="rId23"/>
    <sheet xmlns:r="http://schemas.openxmlformats.org/officeDocument/2006/relationships" name="Fresh vs Processor" sheetId="24" state="visible" r:id="rId24"/>
    <sheet xmlns:r="http://schemas.openxmlformats.org/officeDocument/2006/relationships" name="Stocking Rate" sheetId="25" state="visible" r:id="rId25"/>
    <sheet xmlns:r="http://schemas.openxmlformats.org/officeDocument/2006/relationships" name="Herd Growth" sheetId="26" state="visible" r:id="rId26"/>
    <sheet xmlns:r="http://schemas.openxmlformats.org/officeDocument/2006/relationships" name="Feedlot vs Veld" sheetId="27" state="visible" r:id="rId27"/>
    <sheet xmlns:r="http://schemas.openxmlformats.org/officeDocument/2006/relationships" name="Sow Productivity" sheetId="28" state="visible" r:id="rId28"/>
    <sheet xmlns:r="http://schemas.openxmlformats.org/officeDocument/2006/relationships" name="Feed Budget" sheetId="29" state="visible" r:id="rId29"/>
    <sheet xmlns:r="http://schemas.openxmlformats.org/officeDocument/2006/relationships" name="Batch Margin" sheetId="30" state="visible" r:id="rId30"/>
    <sheet xmlns:r="http://schemas.openxmlformats.org/officeDocument/2006/relationships" name="Broiler Batch" sheetId="31" state="visible" r:id="rId31"/>
    <sheet xmlns:r="http://schemas.openxmlformats.org/officeDocument/2006/relationships" name="Layer Flock" sheetId="32" state="visible" r:id="rId32"/>
    <sheet xmlns:r="http://schemas.openxmlformats.org/officeDocument/2006/relationships" name="Feed Conversion" sheetId="33" state="visible" r:id="rId33"/>
    <sheet xmlns:r="http://schemas.openxmlformats.org/officeDocument/2006/relationships" name="Pond Stocking" sheetId="34" state="visible" r:id="rId34"/>
    <sheet xmlns:r="http://schemas.openxmlformats.org/officeDocument/2006/relationships" name="Clip and Fleece" sheetId="35" state="visible" r:id="rId35"/>
    <sheet xmlns:r="http://schemas.openxmlformats.org/officeDocument/2006/relationships" name="Processing Margin" sheetId="36" state="visible" r:id="rId36"/>
    <sheet xmlns:r="http://schemas.openxmlformats.org/officeDocument/2006/relationships" name="Contract Grower" sheetId="37" state="visible" r:id="rId37"/>
    <sheet xmlns:r="http://schemas.openxmlformats.org/officeDocument/2006/relationships" name="Market Price Comparator" sheetId="38" state="visible" r:id="rId38"/>
    <sheet xmlns:r="http://schemas.openxmlformats.org/officeDocument/2006/relationships" name="T-CAP-01 Venture Plan" sheetId="39" state="visible" r:id="rId39"/>
  </sheets>
  <definedNames>
    <definedName name="_xlnm._FilterDatabase" localSheetId="1" hidden="1">'Directory'!$A$4:$E$106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9">
    <numFmt numFmtId="164" formatCode="#,##0.0000"/>
    <numFmt numFmtId="165" formatCode="0.0000"/>
    <numFmt numFmtId="166" formatCode="yyyy\-mm\-dd"/>
    <numFmt numFmtId="167" formatCode="0.0"/>
    <numFmt numFmtId="168" formatCode="0.0%"/>
    <numFmt numFmtId="169" formatCode="0.000"/>
    <numFmt numFmtId="170" formatCode="#,##0.0"/>
    <numFmt numFmtId="171" formatCode="dd\ mmm\ yyyy"/>
    <numFmt numFmtId="172" formatCode="\+0%;\-0%;0%"/>
  </numFmts>
  <fonts count="3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2F5233"/>
      <sz val="16"/>
    </font>
    <font>
      <name val="Arial"/>
      <charset val="1"/>
      <family val="0"/>
      <b val="1"/>
      <color rgb="FF2F5233"/>
      <sz val="12"/>
    </font>
    <font>
      <name val="Arial"/>
      <charset val="1"/>
      <family val="0"/>
      <sz val="11"/>
    </font>
    <font>
      <name val="Arial"/>
      <charset val="1"/>
      <family val="0"/>
      <b val="1"/>
      <color rgb="FF2F5233"/>
      <sz val="11"/>
    </font>
    <font>
      <name val="Arial"/>
      <charset val="1"/>
      <family val="0"/>
      <color rgb="FF808080"/>
      <sz val="8"/>
    </font>
    <font>
      <name val="Arial"/>
      <charset val="1"/>
      <family val="0"/>
      <b val="1"/>
      <color rgb="FF2F5233"/>
      <sz val="14"/>
    </font>
    <font>
      <name val="Arial"/>
      <charset val="1"/>
      <family val="0"/>
      <i val="1"/>
      <color rgb="FF595959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sz val="9"/>
    </font>
    <font>
      <name val="Arial"/>
      <charset val="1"/>
      <family val="0"/>
      <color rgb="FF1F3FAF"/>
      <sz val="9"/>
      <u val="single"/>
    </font>
    <font>
      <name val="Arial"/>
      <charset val="1"/>
      <family val="0"/>
      <color rgb="FF808080"/>
      <sz val="9"/>
    </font>
    <font>
      <name val="Arial"/>
      <charset val="1"/>
      <family val="0"/>
      <color rgb="FF1F3FAF"/>
      <sz val="11"/>
    </font>
    <font>
      <name val="Arial"/>
      <charset val="1"/>
      <family val="0"/>
      <b val="1"/>
      <sz val="11"/>
    </font>
    <font>
      <name val="Arial"/>
      <charset val="1"/>
      <family val="0"/>
      <b val="1"/>
      <color rgb="FF2E5A35"/>
      <sz val="9"/>
      <u val="single"/>
    </font>
    <font>
      <name val="Arial"/>
      <charset val="1"/>
      <family val="0"/>
      <b val="1"/>
      <color rgb="FF2E5A35"/>
      <sz val="9"/>
    </font>
    <font>
      <name val="Georgia"/>
      <b val="1"/>
      <color rgb="002E5A35"/>
      <sz val="18"/>
    </font>
    <font>
      <name val="Arial"/>
      <i val="1"/>
      <color rgb="FF595959"/>
      <sz val="11"/>
    </font>
    <font>
      <name val="Arial"/>
      <b val="1"/>
      <color rgb="00FFFFFF"/>
      <sz val="11"/>
    </font>
    <font>
      <name val="Arial"/>
      <sz val="9"/>
    </font>
    <font>
      <name val="Arial"/>
      <color rgb="002E5A35"/>
      <sz val="9"/>
      <u val="single"/>
    </font>
    <font>
      <name val="Arial"/>
      <color rgb="FF808080"/>
      <sz val="9"/>
    </font>
    <font>
      <name val="Arial"/>
      <b val="1"/>
      <color rgb="002E5A35"/>
      <sz val="11"/>
    </font>
    <font>
      <name val="Arial"/>
      <sz val="11"/>
    </font>
    <font>
      <name val="Arial"/>
      <b val="1"/>
      <sz val="11"/>
    </font>
    <font>
      <name val="Arial"/>
      <b val="1"/>
      <color rgb="FF2E5A35"/>
      <sz val="9"/>
      <u val="single"/>
    </font>
    <font>
      <name val="Arial"/>
      <b val="1"/>
      <color rgb="FF2E5A35"/>
      <sz val="9"/>
    </font>
    <font>
      <name val="Arial"/>
      <b val="1"/>
      <color rgb="00E6B33A"/>
      <sz val="11"/>
    </font>
    <font>
      <name val="Arial"/>
      <color rgb="00FFFFFF"/>
      <sz val="10"/>
    </font>
    <font>
      <name val="Georgia"/>
      <b val="1"/>
      <color rgb="002E5A35"/>
      <sz val="20"/>
    </font>
    <font>
      <name val="Arial"/>
      <color rgb="005E6457"/>
      <sz val="11"/>
    </font>
    <font>
      <name val="Georgia"/>
      <b val="1"/>
      <color rgb="002E5A35"/>
      <sz val="14"/>
    </font>
    <font>
      <name val="Georgia"/>
      <b val="1"/>
      <color rgb="00E6B33A"/>
      <sz val="14"/>
    </font>
    <font>
      <name val="Arial"/>
      <color rgb="001F2A1F"/>
      <sz val="11"/>
    </font>
    <font>
      <name val="Arial"/>
      <i val="1"/>
      <color rgb="005E6457"/>
      <sz val="11"/>
    </font>
    <font>
      <name val="Arial"/>
      <color rgb="005E6457"/>
      <sz val="9"/>
    </font>
  </fonts>
  <fills count="8">
    <fill>
      <patternFill/>
    </fill>
    <fill>
      <patternFill patternType="gray125"/>
    </fill>
    <fill>
      <patternFill patternType="solid">
        <fgColor rgb="FF2F5233"/>
        <bgColor rgb="FF2E5A35"/>
      </patternFill>
    </fill>
    <fill>
      <patternFill patternType="solid">
        <fgColor rgb="FFFFF2CC"/>
        <bgColor rgb="FFFFFFFF"/>
      </patternFill>
    </fill>
    <fill>
      <patternFill patternType="solid">
        <fgColor rgb="002E5A35"/>
      </patternFill>
    </fill>
    <fill>
      <patternFill patternType="solid">
        <fgColor rgb="00FFF1C2"/>
      </patternFill>
    </fill>
    <fill>
      <patternFill patternType="solid">
        <fgColor rgb="00FBF7E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00D9C3A0"/>
      </left>
      <right style="thin">
        <color rgb="00D9C3A0"/>
      </right>
      <top style="thin">
        <color rgb="00D9C3A0"/>
      </top>
      <bottom style="thin">
        <color rgb="00D9C3A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17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 wrapText="1"/>
    </xf>
    <xf numFmtId="0" fontId="5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 wrapText="1"/>
    </xf>
    <xf numFmtId="0" fontId="7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general" vertical="bottom" wrapText="1"/>
    </xf>
    <xf numFmtId="0" fontId="9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bottom"/>
    </xf>
    <xf numFmtId="0" fontId="11" fillId="2" borderId="1" applyAlignment="1" pivotButton="0" quotePrefix="0" xfId="0">
      <alignment horizontal="general" vertical="center" wrapText="1"/>
    </xf>
    <xf numFmtId="0" fontId="12" fillId="0" borderId="1" applyAlignment="1" pivotButton="0" quotePrefix="0" xfId="0">
      <alignment horizontal="general" vertical="bottom"/>
    </xf>
    <xf numFmtId="0" fontId="13" fillId="0" borderId="1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5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2" fontId="15" fillId="3" borderId="1" applyAlignment="1" pivotButton="0" quotePrefix="0" xfId="0">
      <alignment horizontal="general" vertical="bottom"/>
    </xf>
    <xf numFmtId="164" fontId="6" fillId="0" borderId="1" applyAlignment="1" pivotButton="0" quotePrefix="0" xfId="0">
      <alignment horizontal="general" vertical="bottom"/>
    </xf>
    <xf numFmtId="165" fontId="15" fillId="3" borderId="1" applyAlignment="1" pivotButton="0" quotePrefix="0" xfId="0">
      <alignment horizontal="general" vertical="bottom"/>
    </xf>
    <xf numFmtId="166" fontId="15" fillId="3" borderId="1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165" fontId="6" fillId="0" borderId="1" applyAlignment="1" pivotButton="0" quotePrefix="0" xfId="0">
      <alignment horizontal="general" vertical="bottom"/>
    </xf>
    <xf numFmtId="4" fontId="6" fillId="0" borderId="1" applyAlignment="1" pivotButton="0" quotePrefix="0" xfId="0">
      <alignment horizontal="general" vertical="bottom"/>
    </xf>
    <xf numFmtId="2" fontId="6" fillId="0" borderId="1" applyAlignment="1" pivotButton="0" quotePrefix="0" xfId="0">
      <alignment horizontal="general" vertical="bottom"/>
    </xf>
    <xf numFmtId="4" fontId="15" fillId="3" borderId="1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2" fontId="16" fillId="0" borderId="1" applyAlignment="1" pivotButton="0" quotePrefix="0" xfId="0">
      <alignment horizontal="general" vertical="bottom"/>
    </xf>
    <xf numFmtId="4" fontId="16" fillId="0" borderId="1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" fontId="15" fillId="3" borderId="1" applyAlignment="1" pivotButton="0" quotePrefix="0" xfId="0">
      <alignment horizontal="general" vertical="bottom"/>
    </xf>
    <xf numFmtId="9" fontId="15" fillId="3" borderId="1" applyAlignment="1" pivotButton="0" quotePrefix="0" xfId="0">
      <alignment horizontal="general" vertical="bottom"/>
    </xf>
    <xf numFmtId="167" fontId="6" fillId="0" borderId="1" applyAlignment="1" pivotButton="0" quotePrefix="0" xfId="0">
      <alignment horizontal="general" vertical="bottom"/>
    </xf>
    <xf numFmtId="168" fontId="15" fillId="3" borderId="1" applyAlignment="1" pivotButton="0" quotePrefix="0" xfId="0">
      <alignment horizontal="general" vertical="bottom"/>
    </xf>
    <xf numFmtId="168" fontId="6" fillId="0" borderId="1" applyAlignment="1" pivotButton="0" quotePrefix="0" xfId="0">
      <alignment horizontal="general" vertical="bottom"/>
    </xf>
    <xf numFmtId="169" fontId="15" fillId="3" borderId="1" applyAlignment="1" pivotButton="0" quotePrefix="0" xfId="0">
      <alignment horizontal="general" vertical="bottom"/>
    </xf>
    <xf numFmtId="0" fontId="16" fillId="0" borderId="1" applyAlignment="1" pivotButton="0" quotePrefix="0" xfId="0">
      <alignment horizontal="general" vertical="bottom"/>
    </xf>
    <xf numFmtId="170" fontId="16" fillId="0" borderId="1" applyAlignment="1" pivotButton="0" quotePrefix="0" xfId="0">
      <alignment horizontal="general" vertical="bottom"/>
    </xf>
    <xf numFmtId="3" fontId="6" fillId="0" borderId="1" applyAlignment="1" pivotButton="0" quotePrefix="0" xfId="0">
      <alignment horizontal="general" vertical="bottom"/>
    </xf>
    <xf numFmtId="9" fontId="6" fillId="0" borderId="1" applyAlignment="1" pivotButton="0" quotePrefix="0" xfId="0">
      <alignment horizontal="general" vertical="bottom"/>
    </xf>
    <xf numFmtId="167" fontId="15" fillId="3" borderId="1" applyAlignment="1" pivotButton="0" quotePrefix="0" xfId="0">
      <alignment horizontal="general" vertical="bottom"/>
    </xf>
    <xf numFmtId="1" fontId="16" fillId="0" borderId="1" applyAlignment="1" pivotButton="0" quotePrefix="0" xfId="0">
      <alignment horizontal="general" vertical="bottom"/>
    </xf>
    <xf numFmtId="171" fontId="15" fillId="3" borderId="1" applyAlignment="1" pivotButton="0" quotePrefix="0" xfId="0">
      <alignment horizontal="general" vertical="bottom"/>
    </xf>
    <xf numFmtId="171" fontId="6" fillId="0" borderId="1" applyAlignment="1" pivotButton="0" quotePrefix="0" xfId="0">
      <alignment horizontal="general" vertical="bottom"/>
    </xf>
    <xf numFmtId="1" fontId="6" fillId="0" borderId="1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167" fontId="16" fillId="0" borderId="1" applyAlignment="1" pivotButton="0" quotePrefix="0" xfId="0">
      <alignment horizontal="general" vertical="bottom"/>
    </xf>
    <xf numFmtId="3" fontId="16" fillId="0" borderId="1" applyAlignment="1" pivotButton="0" quotePrefix="0" xfId="0">
      <alignment horizontal="general" vertical="bottom"/>
    </xf>
    <xf numFmtId="3" fontId="15" fillId="3" borderId="1" applyAlignment="1" pivotButton="0" quotePrefix="0" xfId="0">
      <alignment horizontal="general" vertical="bottom"/>
    </xf>
    <xf numFmtId="172" fontId="6" fillId="0" borderId="1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15" fillId="3" borderId="1" applyAlignment="1" pivotButton="0" quotePrefix="0" xfId="0">
      <alignment horizontal="general" vertical="bottom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26" fillId="4" borderId="0" applyAlignment="1" pivotButton="0" quotePrefix="0" xfId="0">
      <alignment horizontal="general" vertical="bottom" wrapText="1"/>
    </xf>
    <xf numFmtId="0" fontId="0" fillId="4" borderId="0" pivotButton="0" quotePrefix="0" xfId="0"/>
    <xf numFmtId="0" fontId="30" fillId="4" borderId="0" applyAlignment="1" pivotButton="0" quotePrefix="0" xfId="0">
      <alignment vertical="top" wrapText="1"/>
    </xf>
    <xf numFmtId="0" fontId="31" fillId="4" borderId="0" applyAlignment="1" pivotButton="0" quotePrefix="0" xfId="0">
      <alignment vertical="top" wrapText="1"/>
    </xf>
    <xf numFmtId="0" fontId="26" fillId="6" borderId="0" applyAlignment="1" pivotButton="0" quotePrefix="0" xfId="0">
      <alignment horizontal="general" vertical="bottom" wrapText="1"/>
    </xf>
    <xf numFmtId="0" fontId="0" fillId="6" borderId="0" pivotButton="0" quotePrefix="0" xfId="0"/>
    <xf numFmtId="0" fontId="32" fillId="6" borderId="0" applyAlignment="1" pivotButton="0" quotePrefix="0" xfId="0">
      <alignment vertical="top" wrapText="1"/>
    </xf>
    <xf numFmtId="0" fontId="33" fillId="6" borderId="0" applyAlignment="1" pivotButton="0" quotePrefix="0" xfId="0">
      <alignment vertical="top" wrapText="1"/>
    </xf>
    <xf numFmtId="0" fontId="34" fillId="6" borderId="0" applyAlignment="1" pivotButton="0" quotePrefix="0" xfId="0">
      <alignment vertical="top" wrapText="1"/>
    </xf>
    <xf numFmtId="0" fontId="35" fillId="6" borderId="0" applyAlignment="1" pivotButton="0" quotePrefix="0" xfId="0">
      <alignment horizontal="right" vertical="top"/>
    </xf>
    <xf numFmtId="0" fontId="36" fillId="6" borderId="0" applyAlignment="1" pivotButton="0" quotePrefix="0" xfId="0">
      <alignment vertical="top" wrapText="1"/>
    </xf>
    <xf numFmtId="0" fontId="25" fillId="5" borderId="5" applyAlignment="1" pivotButton="0" quotePrefix="0" xfId="0">
      <alignment horizontal="center"/>
    </xf>
    <xf numFmtId="0" fontId="36" fillId="7" borderId="5" applyAlignment="1" pivotButton="0" quotePrefix="0" xfId="0">
      <alignment horizontal="center"/>
    </xf>
    <xf numFmtId="0" fontId="21" fillId="4" borderId="0" applyAlignment="1" pivotButton="0" quotePrefix="0" xfId="0">
      <alignment horizontal="center"/>
    </xf>
    <xf numFmtId="0" fontId="37" fillId="6" borderId="0" applyAlignment="1" pivotButton="0" quotePrefix="0" xfId="0">
      <alignment vertical="top" wrapText="1"/>
    </xf>
    <xf numFmtId="0" fontId="38" fillId="6" borderId="0" applyAlignment="1" pivotButton="0" quotePrefix="0" xfId="0">
      <alignment vertical="top" wrapText="1"/>
    </xf>
    <xf numFmtId="0" fontId="19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1" fillId="4" borderId="1" applyAlignment="1" pivotButton="0" quotePrefix="0" xfId="0">
      <alignment horizontal="general" vertical="center" wrapText="1"/>
    </xf>
    <xf numFmtId="0" fontId="22" fillId="0" borderId="1" applyAlignment="1" pivotButton="0" quotePrefix="0" xfId="0">
      <alignment horizontal="general" vertical="bottom"/>
    </xf>
    <xf numFmtId="0" fontId="23" fillId="0" borderId="1" applyAlignment="1" pivotButton="0" quotePrefix="0" xfId="0">
      <alignment horizontal="general" vertical="bottom"/>
    </xf>
    <xf numFmtId="0" fontId="24" fillId="0" borderId="0" applyAlignment="1" pivotButton="0" quotePrefix="0" xfId="0">
      <alignment horizontal="general" vertical="bottom"/>
    </xf>
    <xf numFmtId="0" fontId="25" fillId="0" borderId="0" applyAlignment="1" pivotButton="0" quotePrefix="0" xfId="0">
      <alignment horizontal="general" vertical="bottom"/>
    </xf>
    <xf numFmtId="0" fontId="26" fillId="0" borderId="0" applyAlignment="1" pivotButton="0" quotePrefix="0" xfId="0">
      <alignment horizontal="general" vertical="bottom"/>
    </xf>
    <xf numFmtId="0" fontId="25" fillId="5" borderId="5" applyAlignment="1" pivotButton="0" quotePrefix="0" xfId="0">
      <alignment horizontal="general" vertical="bottom"/>
    </xf>
    <xf numFmtId="0" fontId="26" fillId="0" borderId="1" applyAlignment="1" pivotButton="0" quotePrefix="0" xfId="0">
      <alignment horizontal="general" vertical="bottom"/>
    </xf>
    <xf numFmtId="2" fontId="25" fillId="5" borderId="5" applyAlignment="1" pivotButton="0" quotePrefix="0" xfId="0">
      <alignment horizontal="general" vertical="bottom"/>
    </xf>
    <xf numFmtId="164" fontId="26" fillId="0" borderId="1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166" fontId="25" fillId="5" borderId="5" applyAlignment="1" pivotButton="0" quotePrefix="0" xfId="0">
      <alignment horizontal="general" vertical="bottom"/>
    </xf>
    <xf numFmtId="0" fontId="22" fillId="0" borderId="0" applyAlignment="1" pivotButton="0" quotePrefix="0" xfId="0">
      <alignment horizontal="general" vertical="bottom"/>
    </xf>
    <xf numFmtId="165" fontId="26" fillId="0" borderId="1" applyAlignment="1" pivotButton="0" quotePrefix="0" xfId="0">
      <alignment horizontal="general" vertical="bottom"/>
    </xf>
    <xf numFmtId="4" fontId="6" fillId="0" borderId="1" applyAlignment="1" pivotButton="0" quotePrefix="0" xfId="0">
      <alignment horizontal="general" vertical="bottom"/>
    </xf>
    <xf numFmtId="4" fontId="26" fillId="0" borderId="1" applyAlignment="1" pivotButton="0" quotePrefix="0" xfId="0">
      <alignment horizontal="general" vertical="bottom"/>
    </xf>
    <xf numFmtId="2" fontId="26" fillId="0" borderId="1" applyAlignment="1" pivotButton="0" quotePrefix="0" xfId="0">
      <alignment horizontal="general" vertical="bottom"/>
    </xf>
    <xf numFmtId="4" fontId="25" fillId="5" borderId="5" applyAlignment="1" pivotButton="0" quotePrefix="0" xfId="0">
      <alignment horizontal="general" vertical="bottom"/>
    </xf>
    <xf numFmtId="0" fontId="27" fillId="0" borderId="0" applyAlignment="1" pivotButton="0" quotePrefix="0" xfId="0">
      <alignment horizontal="general" vertical="bottom"/>
    </xf>
    <xf numFmtId="2" fontId="27" fillId="0" borderId="1" applyAlignment="1" pivotButton="0" quotePrefix="0" xfId="0">
      <alignment horizontal="general" vertical="bottom"/>
    </xf>
    <xf numFmtId="4" fontId="27" fillId="0" borderId="1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" fontId="25" fillId="5" borderId="5" applyAlignment="1" pivotButton="0" quotePrefix="0" xfId="0">
      <alignment horizontal="general" vertical="bottom"/>
    </xf>
    <xf numFmtId="9" fontId="25" fillId="5" borderId="5" applyAlignment="1" pivotButton="0" quotePrefix="0" xfId="0">
      <alignment horizontal="general" vertical="bottom"/>
    </xf>
    <xf numFmtId="167" fontId="26" fillId="0" borderId="1" applyAlignment="1" pivotButton="0" quotePrefix="0" xfId="0">
      <alignment horizontal="general" vertical="bottom"/>
    </xf>
    <xf numFmtId="168" fontId="25" fillId="5" borderId="5" applyAlignment="1" pivotButton="0" quotePrefix="0" xfId="0">
      <alignment horizontal="general" vertical="bottom"/>
    </xf>
    <xf numFmtId="168" fontId="26" fillId="0" borderId="1" applyAlignment="1" pivotButton="0" quotePrefix="0" xfId="0">
      <alignment horizontal="general" vertical="bottom"/>
    </xf>
    <xf numFmtId="169" fontId="25" fillId="5" borderId="5" applyAlignment="1" pivotButton="0" quotePrefix="0" xfId="0">
      <alignment horizontal="general" vertical="bottom"/>
    </xf>
    <xf numFmtId="0" fontId="27" fillId="0" borderId="1" applyAlignment="1" pivotButton="0" quotePrefix="0" xfId="0">
      <alignment horizontal="general" vertical="bottom"/>
    </xf>
    <xf numFmtId="170" fontId="27" fillId="0" borderId="1" applyAlignment="1" pivotButton="0" quotePrefix="0" xfId="0">
      <alignment horizontal="general" vertical="bottom"/>
    </xf>
    <xf numFmtId="3" fontId="26" fillId="0" borderId="1" applyAlignment="1" pivotButton="0" quotePrefix="0" xfId="0">
      <alignment horizontal="general" vertical="bottom"/>
    </xf>
    <xf numFmtId="9" fontId="26" fillId="0" borderId="1" applyAlignment="1" pivotButton="0" quotePrefix="0" xfId="0">
      <alignment horizontal="general" vertical="bottom"/>
    </xf>
    <xf numFmtId="167" fontId="25" fillId="5" borderId="5" applyAlignment="1" pivotButton="0" quotePrefix="0" xfId="0">
      <alignment horizontal="general" vertical="bottom"/>
    </xf>
    <xf numFmtId="1" fontId="27" fillId="0" borderId="1" applyAlignment="1" pivotButton="0" quotePrefix="0" xfId="0">
      <alignment horizontal="general" vertical="bottom"/>
    </xf>
    <xf numFmtId="171" fontId="25" fillId="5" borderId="5" applyAlignment="1" pivotButton="0" quotePrefix="0" xfId="0">
      <alignment horizontal="general" vertical="bottom"/>
    </xf>
    <xf numFmtId="171" fontId="26" fillId="0" borderId="1" applyAlignment="1" pivotButton="0" quotePrefix="0" xfId="0">
      <alignment horizontal="general" vertical="bottom"/>
    </xf>
    <xf numFmtId="1" fontId="26" fillId="0" borderId="1" applyAlignment="1" pivotButton="0" quotePrefix="0" xfId="0">
      <alignment horizontal="general" vertical="bottom"/>
    </xf>
    <xf numFmtId="167" fontId="27" fillId="0" borderId="1" applyAlignment="1" pivotButton="0" quotePrefix="0" xfId="0">
      <alignment horizontal="general" vertical="bottom"/>
    </xf>
    <xf numFmtId="3" fontId="27" fillId="0" borderId="1" applyAlignment="1" pivotButton="0" quotePrefix="0" xfId="0">
      <alignment horizontal="general" vertical="bottom"/>
    </xf>
    <xf numFmtId="3" fontId="25" fillId="5" borderId="5" applyAlignment="1" pivotButton="0" quotePrefix="0" xfId="0">
      <alignment horizontal="general" vertical="bottom"/>
    </xf>
    <xf numFmtId="172" fontId="26" fillId="0" borderId="1" applyAlignment="1" pivotButton="0" quotePrefix="0" xfId="0">
      <alignment horizontal="general" vertical="bottom"/>
    </xf>
    <xf numFmtId="0" fontId="29" fillId="0" borderId="0" applyAlignment="1" pivotButton="0" quotePrefix="0" xfId="0">
      <alignment horizontal="general" vertical="bottom"/>
    </xf>
    <xf numFmtId="0" fontId="25" fillId="5" borderId="5" applyAlignment="1" pivotButton="0" quotePrefix="0" xfId="0">
      <alignment horizontal="general" vertical="bottom" wrapText="1"/>
    </xf>
    <xf numFmtId="0" fontId="0" fillId="0" borderId="4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6">
    <dxf>
      <fill>
        <patternFill patternType="solid">
          <fgColor rgb="FF2F523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F3FAF"/>
          <bgColor rgb="FF000000"/>
        </patternFill>
      </fill>
    </dxf>
    <dxf>
      <fill>
        <patternFill>
          <bgColor rgb="FFF4CCCC"/>
        </patternFill>
      </fill>
    </dxf>
    <dxf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2E5A35"/>
      <rgbColor rgb="FF993300"/>
      <rgbColor rgb="FF993366"/>
      <rgbColor rgb="FF1F3FAF"/>
      <rgbColor rgb="FF2F52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styles" Target="styles.xml" Id="rId40"/><Relationship Type="http://schemas.openxmlformats.org/officeDocument/2006/relationships/theme" Target="theme/theme1.xml" Id="rId4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_rels/drawing14.xml.rels><Relationships xmlns="http://schemas.openxmlformats.org/package/2006/relationships"><Relationship Type="http://schemas.openxmlformats.org/officeDocument/2006/relationships/image" Target="/xl/media/image14.png" Id="rId1"/></Relationships>
</file>

<file path=xl/drawings/_rels/drawing15.xml.rels><Relationships xmlns="http://schemas.openxmlformats.org/package/2006/relationships"><Relationship Type="http://schemas.openxmlformats.org/officeDocument/2006/relationships/image" Target="/xl/media/image15.png" Id="rId1"/></Relationships>
</file>

<file path=xl/drawings/_rels/drawing16.xml.rels><Relationships xmlns="http://schemas.openxmlformats.org/package/2006/relationships"><Relationship Type="http://schemas.openxmlformats.org/officeDocument/2006/relationships/image" Target="/xl/media/image16.png" Id="rId1"/></Relationships>
</file>

<file path=xl/drawings/_rels/drawing17.xml.rels><Relationships xmlns="http://schemas.openxmlformats.org/package/2006/relationships"><Relationship Type="http://schemas.openxmlformats.org/officeDocument/2006/relationships/image" Target="/xl/media/image17.png" Id="rId1"/></Relationships>
</file>

<file path=xl/drawings/_rels/drawing18.xml.rels><Relationships xmlns="http://schemas.openxmlformats.org/package/2006/relationships"><Relationship Type="http://schemas.openxmlformats.org/officeDocument/2006/relationships/image" Target="/xl/media/image18.png" Id="rId1"/></Relationships>
</file>

<file path=xl/drawings/_rels/drawing19.xml.rels><Relationships xmlns="http://schemas.openxmlformats.org/package/2006/relationships"><Relationship Type="http://schemas.openxmlformats.org/officeDocument/2006/relationships/image" Target="/xl/media/image19.png" Id="rId1"/></Relationships>
</file>

<file path=xl/drawings/_rels/drawing20.xml.rels><Relationships xmlns="http://schemas.openxmlformats.org/package/2006/relationships"><Relationship Type="http://schemas.openxmlformats.org/officeDocument/2006/relationships/image" Target="/xl/media/image20.png" Id="rId1"/></Relationships>
</file>

<file path=xl/drawings/_rels/drawing21.xml.rels><Relationships xmlns="http://schemas.openxmlformats.org/package/2006/relationships"><Relationship Type="http://schemas.openxmlformats.org/officeDocument/2006/relationships/image" Target="/xl/media/image21.png" Id="rId1"/></Relationships>
</file>

<file path=xl/drawings/_rels/drawing22.xml.rels><Relationships xmlns="http://schemas.openxmlformats.org/package/2006/relationships"><Relationship Type="http://schemas.openxmlformats.org/officeDocument/2006/relationships/image" Target="/xl/media/image22.png" Id="rId1"/></Relationships>
</file>

<file path=xl/drawings/_rels/drawing23.xml.rels><Relationships xmlns="http://schemas.openxmlformats.org/package/2006/relationships"><Relationship Type="http://schemas.openxmlformats.org/officeDocument/2006/relationships/image" Target="/xl/media/image23.png" Id="rId1"/></Relationships>
</file>

<file path=xl/drawings/_rels/drawing24.xml.rels><Relationships xmlns="http://schemas.openxmlformats.org/package/2006/relationships"><Relationship Type="http://schemas.openxmlformats.org/officeDocument/2006/relationships/image" Target="/xl/media/image24.png" Id="rId1"/></Relationships>
</file>

<file path=xl/drawings/_rels/drawing25.xml.rels><Relationships xmlns="http://schemas.openxmlformats.org/package/2006/relationships"><Relationship Type="http://schemas.openxmlformats.org/officeDocument/2006/relationships/image" Target="/xl/media/image25.png" Id="rId1"/></Relationships>
</file>

<file path=xl/drawings/_rels/drawing26.xml.rels><Relationships xmlns="http://schemas.openxmlformats.org/package/2006/relationships"><Relationship Type="http://schemas.openxmlformats.org/officeDocument/2006/relationships/image" Target="/xl/media/image26.png" Id="rId1"/></Relationships>
</file>

<file path=xl/drawings/_rels/drawing27.xml.rels><Relationships xmlns="http://schemas.openxmlformats.org/package/2006/relationships"><Relationship Type="http://schemas.openxmlformats.org/officeDocument/2006/relationships/image" Target="/xl/media/image27.png" Id="rId1"/></Relationships>
</file>

<file path=xl/drawings/_rels/drawing28.xml.rels><Relationships xmlns="http://schemas.openxmlformats.org/package/2006/relationships"><Relationship Type="http://schemas.openxmlformats.org/officeDocument/2006/relationships/image" Target="/xl/media/image28.png" Id="rId1"/></Relationships>
</file>

<file path=xl/drawings/_rels/drawing29.xml.rels><Relationships xmlns="http://schemas.openxmlformats.org/package/2006/relationships"><Relationship Type="http://schemas.openxmlformats.org/officeDocument/2006/relationships/image" Target="/xl/media/image29.png" Id="rId1"/></Relationships>
</file>

<file path=xl/drawings/_rels/drawing30.xml.rels><Relationships xmlns="http://schemas.openxmlformats.org/package/2006/relationships"><Relationship Type="http://schemas.openxmlformats.org/officeDocument/2006/relationships/image" Target="/xl/media/image30.png" Id="rId1"/></Relationships>
</file>

<file path=xl/drawings/_rels/drawing31.xml.rels><Relationships xmlns="http://schemas.openxmlformats.org/package/2006/relationships"><Relationship Type="http://schemas.openxmlformats.org/officeDocument/2006/relationships/image" Target="/xl/media/image31.png" Id="rId1"/></Relationships>
</file>

<file path=xl/drawings/_rels/drawing32.xml.rels><Relationships xmlns="http://schemas.openxmlformats.org/package/2006/relationships"><Relationship Type="http://schemas.openxmlformats.org/officeDocument/2006/relationships/image" Target="/xl/media/image32.png" Id="rId1"/></Relationships>
</file>

<file path=xl/drawings/_rels/drawing33.xml.rels><Relationships xmlns="http://schemas.openxmlformats.org/package/2006/relationships"><Relationship Type="http://schemas.openxmlformats.org/officeDocument/2006/relationships/image" Target="/xl/media/image33.png" Id="rId1"/></Relationships>
</file>

<file path=xl/drawings/_rels/drawing34.xml.rels><Relationships xmlns="http://schemas.openxmlformats.org/package/2006/relationships"><Relationship Type="http://schemas.openxmlformats.org/officeDocument/2006/relationships/image" Target="/xl/media/image34.png" Id="rId1"/></Relationships>
</file>

<file path=xl/drawings/_rels/drawing35.xml.rels><Relationships xmlns="http://schemas.openxmlformats.org/package/2006/relationships"><Relationship Type="http://schemas.openxmlformats.org/officeDocument/2006/relationships/image" Target="/xl/media/image35.png" Id="rId1"/></Relationships>
</file>

<file path=xl/drawings/_rels/drawing36.xml.rels><Relationships xmlns="http://schemas.openxmlformats.org/package/2006/relationships"><Relationship Type="http://schemas.openxmlformats.org/officeDocument/2006/relationships/image" Target="/xl/media/image36.png" Id="rId1"/></Relationships>
</file>

<file path=xl/drawings/_rels/drawing37.xml.rels><Relationships xmlns="http://schemas.openxmlformats.org/package/2006/relationships"><Relationship Type="http://schemas.openxmlformats.org/officeDocument/2006/relationships/image" Target="/xl/media/image37.png" Id="rId1"/></Relationships>
</file>

<file path=xl/drawings/_rels/drawing38.xml.rels><Relationships xmlns="http://schemas.openxmlformats.org/package/2006/relationships"><Relationship Type="http://schemas.openxmlformats.org/officeDocument/2006/relationships/image" Target="/xl/media/image38.png" Id="rId1"/></Relationships>
</file>

<file path=xl/drawings/_rels/drawing39.xml.rels><Relationships xmlns="http://schemas.openxmlformats.org/package/2006/relationships"><Relationship Type="http://schemas.openxmlformats.org/officeDocument/2006/relationships/image" Target="/xl/media/image39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6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11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7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7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15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6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6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6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6.xml><?xml version="1.0" encoding="utf-8"?>
<wsDr xmlns="http://schemas.openxmlformats.org/drawingml/2006/spreadsheetDrawing">
  <oneCellAnchor>
    <from>
      <col>8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7.xml><?xml version="1.0" encoding="utf-8"?>
<wsDr xmlns="http://schemas.openxmlformats.org/drawingml/2006/spreadsheetDrawing">
  <oneCellAnchor>
    <from>
      <col>8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8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9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0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1.xml><?xml version="1.0" encoding="utf-8"?>
<wsDr xmlns="http://schemas.openxmlformats.org/drawingml/2006/spreadsheetDrawing">
  <oneCellAnchor>
    <from>
      <col>7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2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3.xml><?xml version="1.0" encoding="utf-8"?>
<wsDr xmlns="http://schemas.openxmlformats.org/drawingml/2006/spreadsheetDrawing">
  <oneCellAnchor>
    <from>
      <col>14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4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5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6.xml><?xml version="1.0" encoding="utf-8"?>
<wsDr xmlns="http://schemas.openxmlformats.org/drawingml/2006/spreadsheetDrawing">
  <oneCellAnchor>
    <from>
      <col>9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7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8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9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0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1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2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3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4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5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6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7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8.xml><?xml version="1.0" encoding="utf-8"?>
<wsDr xmlns="http://schemas.openxmlformats.org/drawingml/2006/spreadsheetDrawing">
  <oneCellAnchor>
    <from>
      <col>9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9.xml><?xml version="1.0" encoding="utf-8"?>
<wsDr xmlns="http://schemas.openxmlformats.org/drawingml/2006/spreadsheetDrawing">
  <oneCellAnchor>
    <from>
      <col>5</col>
      <colOff>0</colOff>
      <row>0</row>
      <rowOff>0</rowOff>
    </from>
    <ext cx="156210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../../../home/claude/plat/rimai-toolkit-v1.0.xlsx" TargetMode="External" Id="rId1"/><Relationship Type="http://schemas.openxmlformats.org/officeDocument/2006/relationships/hyperlink" Target="../../../home/claude/plat/rimai-toolkit-v1.0.xlsx" TargetMode="External" Id="rId2"/><Relationship Type="http://schemas.openxmlformats.org/officeDocument/2006/relationships/hyperlink" Target="../../../home/claude/plat/rimai-toolkit-v1.0.xlsx" TargetMode="External" Id="rId3"/><Relationship Type="http://schemas.openxmlformats.org/officeDocument/2006/relationships/hyperlink" Target="../../../home/claude/plat/rimai-toolkit-v1.0.xlsx" TargetMode="External" Id="rId4"/><Relationship Type="http://schemas.openxmlformats.org/officeDocument/2006/relationships/hyperlink" Target="../../../home/claude/plat/rimai-toolkit-v1.0.xlsx" TargetMode="External" Id="rId5"/><Relationship Type="http://schemas.openxmlformats.org/officeDocument/2006/relationships/hyperlink" Target="../../../home/claude/plat/rimai-toolkit-v1.0.xlsx" TargetMode="External" Id="rId6"/><Relationship Type="http://schemas.openxmlformats.org/officeDocument/2006/relationships/hyperlink" Target="../../../home/claude/plat/rimai-toolkit-v1.0.xlsx" TargetMode="External" Id="rId7"/><Relationship Type="http://schemas.openxmlformats.org/officeDocument/2006/relationships/hyperlink" Target="../../../home/claude/plat/rimai-toolkit-v1.0.xlsx" TargetMode="External" Id="rId8"/><Relationship Type="http://schemas.openxmlformats.org/officeDocument/2006/relationships/hyperlink" Target="../../../home/claude/plat/rimai-toolkit-v1.0.xlsx" TargetMode="External" Id="rId9"/><Relationship Type="http://schemas.openxmlformats.org/officeDocument/2006/relationships/hyperlink" Target="../../../home/claude/plat/rimai-toolkit-v1.0.xlsx" TargetMode="External" Id="rId10"/><Relationship Type="http://schemas.openxmlformats.org/officeDocument/2006/relationships/hyperlink" Target="../../../home/claude/plat/rimai-toolkit-v1.0.xlsx" TargetMode="External" Id="rId11"/><Relationship Type="http://schemas.openxmlformats.org/officeDocument/2006/relationships/hyperlink" Target="../../../home/claude/plat/rimai-toolkit-v1.0.xlsx" TargetMode="External" Id="rId12"/><Relationship Type="http://schemas.openxmlformats.org/officeDocument/2006/relationships/hyperlink" Target="../../../home/claude/plat/rimai-toolkit-v1.0.xlsx" TargetMode="External" Id="rId13"/><Relationship Type="http://schemas.openxmlformats.org/officeDocument/2006/relationships/hyperlink" Target="../../../home/claude/plat/rimai-toolkit-v1.0.xlsx" TargetMode="External" Id="rId14"/><Relationship Type="http://schemas.openxmlformats.org/officeDocument/2006/relationships/hyperlink" Target="../../../home/claude/plat/rimai-toolkit-v1.0.xlsx" TargetMode="External" Id="rId15"/><Relationship Type="http://schemas.openxmlformats.org/officeDocument/2006/relationships/hyperlink" Target="../../../home/claude/plat/rimai-toolkit-v1.0.xlsx" TargetMode="External" Id="rId16"/><Relationship Type="http://schemas.openxmlformats.org/officeDocument/2006/relationships/hyperlink" Target="../../../home/claude/plat/rimai-toolkit-v1.0.xlsx" TargetMode="External" Id="rId17"/><Relationship Type="http://schemas.openxmlformats.org/officeDocument/2006/relationships/hyperlink" Target="../../../home/claude/plat/rimai-toolkit-v1.0.xlsx" TargetMode="External" Id="rId18"/><Relationship Type="http://schemas.openxmlformats.org/officeDocument/2006/relationships/hyperlink" Target="../../../home/claude/plat/rimai-toolkit-v1.0.xlsx" TargetMode="External" Id="rId19"/><Relationship Type="http://schemas.openxmlformats.org/officeDocument/2006/relationships/hyperlink" Target="../../../home/claude/plat/rimai-toolkit-v1.0.xlsx" TargetMode="External" Id="rId20"/><Relationship Type="http://schemas.openxmlformats.org/officeDocument/2006/relationships/hyperlink" Target="../../../home/claude/plat/rimai-toolkit-v1.0.xlsx" TargetMode="External" Id="rId21"/><Relationship Type="http://schemas.openxmlformats.org/officeDocument/2006/relationships/hyperlink" Target="../../../home/claude/plat/rimai-toolkit-v1.0.xlsx" TargetMode="External" Id="rId22"/><Relationship Type="http://schemas.openxmlformats.org/officeDocument/2006/relationships/hyperlink" Target="../../../home/claude/plat/rimai-toolkit-v1.0.xlsx" TargetMode="External" Id="rId23"/><Relationship Type="http://schemas.openxmlformats.org/officeDocument/2006/relationships/hyperlink" Target="../../../home/claude/plat/rimai-toolkit-v1.0.xlsx" TargetMode="External" Id="rId24"/><Relationship Type="http://schemas.openxmlformats.org/officeDocument/2006/relationships/hyperlink" Target="../../../home/claude/plat/rimai-toolkit-v1.0.xlsx" TargetMode="External" Id="rId25"/><Relationship Type="http://schemas.openxmlformats.org/officeDocument/2006/relationships/hyperlink" Target="../../../home/claude/plat/rimai-toolkit-v1.0.xlsx" TargetMode="External" Id="rId26"/><Relationship Type="http://schemas.openxmlformats.org/officeDocument/2006/relationships/hyperlink" Target="../../../home/claude/plat/rimai-toolkit-v1.0.xlsx" TargetMode="External" Id="rId27"/><Relationship Type="http://schemas.openxmlformats.org/officeDocument/2006/relationships/hyperlink" Target="../../../home/claude/plat/rimai-toolkit-v1.0.xlsx" TargetMode="External" Id="rId28"/><Relationship Type="http://schemas.openxmlformats.org/officeDocument/2006/relationships/hyperlink" Target="../../../home/claude/plat/rimai-toolkit-v1.0.xlsx" TargetMode="External" Id="rId29"/><Relationship Type="http://schemas.openxmlformats.org/officeDocument/2006/relationships/hyperlink" Target="../../../home/claude/plat/rimai-toolkit-v1.0.xlsx" TargetMode="External" Id="rId30"/><Relationship Type="http://schemas.openxmlformats.org/officeDocument/2006/relationships/hyperlink" Target="../../../home/claude/plat/rimai-toolkit-v1.0.xlsx" TargetMode="External" Id="rId31"/><Relationship Type="http://schemas.openxmlformats.org/officeDocument/2006/relationships/hyperlink" Target="../../../home/claude/plat/rimai-toolkit-v1.0.xlsx" TargetMode="External" Id="rId32"/><Relationship Type="http://schemas.openxmlformats.org/officeDocument/2006/relationships/hyperlink" Target="../../../home/claude/plat/rimai-toolkit-v1.0.xlsx" TargetMode="External" Id="rId33"/><Relationship Type="http://schemas.openxmlformats.org/officeDocument/2006/relationships/hyperlink" Target="../../../home/claude/plat/rimai-toolkit-v1.0.xlsx" TargetMode="External" Id="rId34"/><Relationship Type="http://schemas.openxmlformats.org/officeDocument/2006/relationships/hyperlink" Target="../../../home/claude/plat/rimai-toolkit-v1.0.xlsx" TargetMode="External" Id="rId35"/><Relationship Type="http://schemas.openxmlformats.org/officeDocument/2006/relationships/hyperlink" Target="../../../home/claude/plat/rimai-toolkit-v1.0.xlsx" TargetMode="External" Id="rId36"/><Relationship Type="http://schemas.openxmlformats.org/officeDocument/2006/relationships/hyperlink" Target="../../../home/claude/plat/rimai-toolkit-v1.0.xlsx" TargetMode="External" Id="rId37"/><Relationship Type="http://schemas.openxmlformats.org/officeDocument/2006/relationships/hyperlink" Target="../../../home/claude/plat/rimai-toolkit-v1.0.xlsx" TargetMode="External" Id="rId38"/><Relationship Type="http://schemas.openxmlformats.org/officeDocument/2006/relationships/hyperlink" Target="../../../home/claude/plat/rimai-toolkit-v1.0.xlsx" TargetMode="External" Id="rId39"/><Relationship Type="http://schemas.openxmlformats.org/officeDocument/2006/relationships/hyperlink" Target="../../../home/claude/plat/rimai-toolkit-v1.0.xlsx" TargetMode="External" Id="rId40"/><Relationship Type="http://schemas.openxmlformats.org/officeDocument/2006/relationships/hyperlink" Target="../../../home/claude/plat/rimai-toolkit-v1.0.xlsx" TargetMode="External" Id="rId41"/><Relationship Type="http://schemas.openxmlformats.org/officeDocument/2006/relationships/hyperlink" Target="../../../home/claude/plat/rimai-toolkit-v1.0.xlsx" TargetMode="External" Id="rId42"/><Relationship Type="http://schemas.openxmlformats.org/officeDocument/2006/relationships/hyperlink" Target="../../../home/claude/plat/rimai-toolkit-v1.0.xlsx" TargetMode="External" Id="rId43"/><Relationship Type="http://schemas.openxmlformats.org/officeDocument/2006/relationships/hyperlink" Target="../../../home/claude/plat/rimai-toolkit-v1.0.xlsx" TargetMode="External" Id="rId44"/><Relationship Type="http://schemas.openxmlformats.org/officeDocument/2006/relationships/hyperlink" Target="../../../home/claude/plat/rimai-toolkit-v1.0.xlsx" TargetMode="External" Id="rId45"/><Relationship Type="http://schemas.openxmlformats.org/officeDocument/2006/relationships/hyperlink" Target="../../../home/claude/plat/rimai-toolkit-v1.0.xlsx" TargetMode="External" Id="rId46"/><Relationship Type="http://schemas.openxmlformats.org/officeDocument/2006/relationships/hyperlink" Target="../../../home/claude/plat/rimai-toolkit-v1.0.xlsx" TargetMode="External" Id="rId47"/><Relationship Type="http://schemas.openxmlformats.org/officeDocument/2006/relationships/hyperlink" Target="../../../home/claude/plat/rimai-toolkit-v1.0.xlsx" TargetMode="External" Id="rId48"/><Relationship Type="http://schemas.openxmlformats.org/officeDocument/2006/relationships/hyperlink" Target="../../../home/claude/plat/rimai-toolkit-v1.0.xlsx" TargetMode="External" Id="rId49"/><Relationship Type="http://schemas.openxmlformats.org/officeDocument/2006/relationships/hyperlink" Target="../../../home/claude/plat/rimai-toolkit-v1.0.xlsx" TargetMode="External" Id="rId50"/><Relationship Type="http://schemas.openxmlformats.org/officeDocument/2006/relationships/hyperlink" Target="../../../home/claude/plat/rimai-toolkit-v1.0.xlsx" TargetMode="External" Id="rId51"/><Relationship Type="http://schemas.openxmlformats.org/officeDocument/2006/relationships/hyperlink" Target="../../../home/claude/plat/rimai-toolkit-v1.0.xlsx" TargetMode="External" Id="rId52"/><Relationship Type="http://schemas.openxmlformats.org/officeDocument/2006/relationships/hyperlink" Target="../../../home/claude/plat/rimai-toolkit-v1.0.xlsx" TargetMode="External" Id="rId53"/><Relationship Type="http://schemas.openxmlformats.org/officeDocument/2006/relationships/hyperlink" Target="../../../home/claude/plat/rimai-toolkit-v1.0.xlsx" TargetMode="External" Id="rId54"/><Relationship Type="http://schemas.openxmlformats.org/officeDocument/2006/relationships/hyperlink" Target="../../../home/claude/plat/rimai-toolkit-v1.0.xlsx" TargetMode="External" Id="rId55"/><Relationship Type="http://schemas.openxmlformats.org/officeDocument/2006/relationships/hyperlink" Target="../../../home/claude/plat/rimai-toolkit-v1.0.xlsx" TargetMode="External" Id="rId56"/><Relationship Type="http://schemas.openxmlformats.org/officeDocument/2006/relationships/hyperlink" Target="../../../home/claude/plat/rimai-toolkit-v1.0.xlsx" TargetMode="External" Id="rId57"/><Relationship Type="http://schemas.openxmlformats.org/officeDocument/2006/relationships/hyperlink" Target="../../../home/claude/plat/rimai-toolkit-v1.0.xlsx" TargetMode="External" Id="rId58"/><Relationship Type="http://schemas.openxmlformats.org/officeDocument/2006/relationships/hyperlink" Target="../../../home/claude/plat/rimai-toolkit-v1.0.xlsx" TargetMode="External" Id="rId59"/><Relationship Type="http://schemas.openxmlformats.org/officeDocument/2006/relationships/hyperlink" Target="../../../home/claude/plat/rimai-toolkit-v1.0.xlsx" TargetMode="External" Id="rId60"/><Relationship Type="http://schemas.openxmlformats.org/officeDocument/2006/relationships/hyperlink" Target="../../../home/claude/plat/rimai-toolkit-v1.0.xlsx" TargetMode="External" Id="rId61"/><Relationship Type="http://schemas.openxmlformats.org/officeDocument/2006/relationships/hyperlink" Target="../../../home/claude/plat/rimai-toolkit-v1.0.xlsx" TargetMode="External" Id="rId62"/><Relationship Type="http://schemas.openxmlformats.org/officeDocument/2006/relationships/hyperlink" Target="../../../home/claude/plat/rimai-toolkit-v1.0.xlsx" TargetMode="External" Id="rId63"/><Relationship Type="http://schemas.openxmlformats.org/officeDocument/2006/relationships/hyperlink" Target="../../../home/claude/plat/rimai-toolkit-v1.0.xlsx" TargetMode="External" Id="rId64"/><Relationship Type="http://schemas.openxmlformats.org/officeDocument/2006/relationships/hyperlink" Target="../../../home/claude/plat/rimai-toolkit-v1.0.xlsx" TargetMode="External" Id="rId65"/><Relationship Type="http://schemas.openxmlformats.org/officeDocument/2006/relationships/hyperlink" Target="../../../home/claude/plat/rimai-toolkit-v1.0.xlsx" TargetMode="External" Id="rId66"/><Relationship Type="http://schemas.openxmlformats.org/officeDocument/2006/relationships/hyperlink" Target="../../../home/claude/plat/rimai-toolkit-v1.0.xlsx" TargetMode="External" Id="rId67"/><Relationship Type="http://schemas.openxmlformats.org/officeDocument/2006/relationships/hyperlink" Target="../../../home/claude/plat/rimai-toolkit-v1.0.xlsx" TargetMode="External" Id="rId68"/><Relationship Type="http://schemas.openxmlformats.org/officeDocument/2006/relationships/hyperlink" Target="../../../home/claude/plat/rimai-toolkit-v1.0.xlsx" TargetMode="External" Id="rId69"/><Relationship Type="http://schemas.openxmlformats.org/officeDocument/2006/relationships/hyperlink" Target="../../../home/claude/plat/rimai-toolkit-v1.0.xlsx" TargetMode="External" Id="rId70"/><Relationship Type="http://schemas.openxmlformats.org/officeDocument/2006/relationships/hyperlink" Target="../../../home/claude/plat/rimai-toolkit-v1.0.xlsx" TargetMode="External" Id="rId71"/><Relationship Type="http://schemas.openxmlformats.org/officeDocument/2006/relationships/hyperlink" Target="../../../home/claude/plat/rimai-toolkit-v1.0.xlsx" TargetMode="External" Id="rId72"/><Relationship Type="http://schemas.openxmlformats.org/officeDocument/2006/relationships/hyperlink" Target="../../../home/claude/plat/rimai-toolkit-v1.0.xlsx" TargetMode="External" Id="rId73"/><Relationship Type="http://schemas.openxmlformats.org/officeDocument/2006/relationships/hyperlink" Target="../../../home/claude/plat/rimai-toolkit-v1.0.xlsx" TargetMode="External" Id="rId74"/><Relationship Type="http://schemas.openxmlformats.org/officeDocument/2006/relationships/hyperlink" Target="../../../home/claude/plat/rimai-toolkit-v1.0.xlsx" TargetMode="External" Id="rId75"/><Relationship Type="http://schemas.openxmlformats.org/officeDocument/2006/relationships/hyperlink" Target="../../../home/claude/plat/rimai-toolkit-v1.0.xlsx" TargetMode="External" Id="rId76"/><Relationship Type="http://schemas.openxmlformats.org/officeDocument/2006/relationships/hyperlink" Target="../../../home/claude/plat/rimai-toolkit-v1.0.xlsx" TargetMode="External" Id="rId77"/><Relationship Type="http://schemas.openxmlformats.org/officeDocument/2006/relationships/hyperlink" Target="../../../home/claude/plat/rimai-toolkit-v1.0.xlsx" TargetMode="External" Id="rId78"/><Relationship Type="http://schemas.openxmlformats.org/officeDocument/2006/relationships/hyperlink" Target="../../../home/claude/plat/rimai-toolkit-v1.0.xlsx" TargetMode="External" Id="rId79"/><Relationship Type="http://schemas.openxmlformats.org/officeDocument/2006/relationships/hyperlink" Target="../../../home/claude/plat/rimai-toolkit-v1.0.xlsx" TargetMode="External" Id="rId80"/><Relationship Type="http://schemas.openxmlformats.org/officeDocument/2006/relationships/hyperlink" Target="../../../home/claude/plat/rimai-toolkit-v1.0.xlsx" TargetMode="External" Id="rId81"/><Relationship Type="http://schemas.openxmlformats.org/officeDocument/2006/relationships/hyperlink" Target="../../../home/claude/plat/rimai-toolkit-v1.0.xlsx" TargetMode="External" Id="rId82"/><Relationship Type="http://schemas.openxmlformats.org/officeDocument/2006/relationships/hyperlink" Target="../../../home/claude/plat/rimai-toolkit-v1.0.xlsx" TargetMode="External" Id="rId83"/><Relationship Type="http://schemas.openxmlformats.org/officeDocument/2006/relationships/hyperlink" Target="../../../home/claude/plat/rimai-toolkit-v1.0.xlsx" TargetMode="External" Id="rId84"/><Relationship Type="http://schemas.openxmlformats.org/officeDocument/2006/relationships/hyperlink" Target="../../../home/claude/plat/rimai-toolkit-v1.0.xlsx" TargetMode="External" Id="rId85"/><Relationship Type="http://schemas.openxmlformats.org/officeDocument/2006/relationships/hyperlink" Target="../../../home/claude/plat/rimai-toolkit-v1.0.xlsx" TargetMode="External" Id="rId86"/><Relationship Type="http://schemas.openxmlformats.org/officeDocument/2006/relationships/hyperlink" Target="../../../home/claude/plat/rimai-toolkit-v1.0.xlsx" TargetMode="External" Id="rId87"/><Relationship Type="http://schemas.openxmlformats.org/officeDocument/2006/relationships/hyperlink" Target="../../../home/claude/plat/rimai-toolkit-v1.0.xlsx" TargetMode="External" Id="rId88"/><Relationship Type="http://schemas.openxmlformats.org/officeDocument/2006/relationships/hyperlink" Target="../../../home/claude/plat/rimai-toolkit-v1.0.xlsx" TargetMode="External" Id="rId89"/><Relationship Type="http://schemas.openxmlformats.org/officeDocument/2006/relationships/hyperlink" Target="../../../home/claude/plat/rimai-toolkit-v1.0.xlsx" TargetMode="External" Id="rId90"/><Relationship Type="http://schemas.openxmlformats.org/officeDocument/2006/relationships/hyperlink" Target="../../../home/claude/plat/rimai-toolkit-v1.0.xlsx" TargetMode="External" Id="rId91"/><Relationship Type="http://schemas.openxmlformats.org/officeDocument/2006/relationships/hyperlink" Target="../../../home/claude/plat/rimai-toolkit-v1.0.xlsx" TargetMode="External" Id="rId92"/><Relationship Type="http://schemas.openxmlformats.org/officeDocument/2006/relationships/hyperlink" Target="../../../home/claude/plat/rimai-toolkit-v1.0.xlsx" TargetMode="External" Id="rId93"/><Relationship Type="http://schemas.openxmlformats.org/officeDocument/2006/relationships/hyperlink" Target="../../../home/claude/plat/rimai-toolkit-v1.0.xlsx" TargetMode="External" Id="rId94"/><Relationship Type="http://schemas.openxmlformats.org/officeDocument/2006/relationships/hyperlink" Target="../../../home/claude/plat/rimai-toolkit-v1.0.xlsx" TargetMode="External" Id="rId95"/><Relationship Type="http://schemas.openxmlformats.org/officeDocument/2006/relationships/hyperlink" Target="../../../home/claude/plat/rimai-toolkit-v1.0.xlsx" TargetMode="External" Id="rId96"/><Relationship Type="http://schemas.openxmlformats.org/officeDocument/2006/relationships/hyperlink" Target="../../../home/claude/plat/rimai-toolkit-v1.0.xlsx" TargetMode="External" Id="rId97"/><Relationship Type="http://schemas.openxmlformats.org/officeDocument/2006/relationships/hyperlink" Target="../../../home/claude/plat/rimai-toolkit-v1.0.xlsx" TargetMode="External" Id="rId98"/><Relationship Type="http://schemas.openxmlformats.org/officeDocument/2006/relationships/hyperlink" Target="../../../home/claude/plat/rimai-toolkit-v1.0.xlsx" TargetMode="External" Id="rId99"/><Relationship Type="http://schemas.openxmlformats.org/officeDocument/2006/relationships/hyperlink" Target="../../../home/claude/plat/rimai-toolkit-v1.0.xlsx" TargetMode="External" Id="rId100"/><Relationship Type="http://schemas.openxmlformats.org/officeDocument/2006/relationships/hyperlink" Target="../../../home/claude/plat/rimai-toolkit-v1.0.xlsx" TargetMode="External" Id="rId101"/><Relationship Type="http://schemas.openxmlformats.org/officeDocument/2006/relationships/hyperlink" Target="../../../home/claude/plat/rimai-toolkit-v1.0.xlsx" TargetMode="External" Id="rId102"/><Relationship Type="http://schemas.openxmlformats.org/officeDocument/2006/relationships/drawing" Target="/xl/drawings/drawing2.xml" Id="rId103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hyperlink" Target="https://moeletsi.africa/" TargetMode="External" Id="rId1"/><Relationship Type="http://schemas.openxmlformats.org/officeDocument/2006/relationships/drawing" Target="/xl/drawings/drawing8.xml" Id="rId2"/></Relationships>
</file>

<file path=xl/worksheets/_rels/sheet9.xml.rels><Relationships xmlns="http://schemas.openxmlformats.org/package/2006/relationships"><Relationship Type="http://schemas.openxmlformats.org/officeDocument/2006/relationships/hyperlink" Target="https://moeletsi.africa/" TargetMode="External" Id="rId1"/><Relationship Type="http://schemas.openxmlformats.org/officeDocument/2006/relationships/drawing" Target="/xl/drawings/drawing9.xml" Id="rId2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hyperlink" Target="https://mashofe.com/" TargetMode="External" Id="rId1"/><Relationship Type="http://schemas.openxmlformats.org/officeDocument/2006/relationships/drawing" Target="/xl/drawings/drawing11.xml" Id="rId2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6.xml.rels><Relationships xmlns="http://schemas.openxmlformats.org/package/2006/relationships"><Relationship Type="http://schemas.openxmlformats.org/officeDocument/2006/relationships/hyperlink" Target="https://musika.co.za/" TargetMode="External" Id="rId1"/><Relationship Type="http://schemas.openxmlformats.org/officeDocument/2006/relationships/drawing" Target="/xl/drawings/drawing16.xml" Id="rId2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6.xml.rels><Relationships xmlns="http://schemas.openxmlformats.org/package/2006/relationships"><Relationship Type="http://schemas.openxmlformats.org/officeDocument/2006/relationships/hyperlink" Target="https://chinyama.com/" TargetMode="External" Id="rId1"/><Relationship Type="http://schemas.openxmlformats.org/officeDocument/2006/relationships/drawing" Target="/xl/drawings/drawing26.xml" Id="rId2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_rels/sheet29.xml.rels><Relationships xmlns="http://schemas.openxmlformats.org/package/2006/relationships"><Relationship Type="http://schemas.openxmlformats.org/officeDocument/2006/relationships/drawing" Target="/xl/drawings/drawing29.xml" Id="rId1"/></Relationships>
</file>

<file path=xl/worksheets/_rels/sheet30.xml.rels><Relationships xmlns="http://schemas.openxmlformats.org/package/2006/relationships"><Relationship Type="http://schemas.openxmlformats.org/officeDocument/2006/relationships/drawing" Target="/xl/drawings/drawing30.xml" Id="rId1"/></Relationships>
</file>

<file path=xl/worksheets/_rels/sheet31.xml.rels><Relationships xmlns="http://schemas.openxmlformats.org/package/2006/relationships"><Relationship Type="http://schemas.openxmlformats.org/officeDocument/2006/relationships/drawing" Target="/xl/drawings/drawing31.xml" Id="rId1"/></Relationships>
</file>

<file path=xl/worksheets/_rels/sheet32.xml.rels><Relationships xmlns="http://schemas.openxmlformats.org/package/2006/relationships"><Relationship Type="http://schemas.openxmlformats.org/officeDocument/2006/relationships/drawing" Target="/xl/drawings/drawing32.xml" Id="rId1"/></Relationships>
</file>

<file path=xl/worksheets/_rels/sheet33.xml.rels><Relationships xmlns="http://schemas.openxmlformats.org/package/2006/relationships"><Relationship Type="http://schemas.openxmlformats.org/officeDocument/2006/relationships/drawing" Target="/xl/drawings/drawing33.xml" Id="rId1"/></Relationships>
</file>

<file path=xl/worksheets/_rels/sheet34.xml.rels><Relationships xmlns="http://schemas.openxmlformats.org/package/2006/relationships"><Relationship Type="http://schemas.openxmlformats.org/officeDocument/2006/relationships/drawing" Target="/xl/drawings/drawing34.xml" Id="rId1"/></Relationships>
</file>

<file path=xl/worksheets/_rels/sheet35.xml.rels><Relationships xmlns="http://schemas.openxmlformats.org/package/2006/relationships"><Relationship Type="http://schemas.openxmlformats.org/officeDocument/2006/relationships/drawing" Target="/xl/drawings/drawing35.xml" Id="rId1"/></Relationships>
</file>

<file path=xl/worksheets/_rels/sheet36.xml.rels><Relationships xmlns="http://schemas.openxmlformats.org/package/2006/relationships"><Relationship Type="http://schemas.openxmlformats.org/officeDocument/2006/relationships/hyperlink" Target="https://musika.co.za/" TargetMode="External" Id="rId1"/><Relationship Type="http://schemas.openxmlformats.org/officeDocument/2006/relationships/drawing" Target="/xl/drawings/drawing36.xml" Id="rId2"/></Relationships>
</file>

<file path=xl/worksheets/_rels/sheet37.xml.rels><Relationships xmlns="http://schemas.openxmlformats.org/package/2006/relationships"><Relationship Type="http://schemas.openxmlformats.org/officeDocument/2006/relationships/drawing" Target="/xl/drawings/drawing37.xml" Id="rId1"/></Relationships>
</file>

<file path=xl/worksheets/_rels/sheet38.xml.rels><Relationships xmlns="http://schemas.openxmlformats.org/package/2006/relationships"><Relationship Type="http://schemas.openxmlformats.org/officeDocument/2006/relationships/drawing" Target="/xl/drawings/drawing38.xml" Id="rId1"/></Relationships>
</file>

<file path=xl/worksheets/_rels/sheet39.xml.rels><Relationships xmlns="http://schemas.openxmlformats.org/package/2006/relationships"><Relationship Type="http://schemas.openxmlformats.org/officeDocument/2006/relationships/drawing" Target="/xl/drawings/drawing39.xml" Id="rId1"/></Relationships>
</file>

<file path=xl/worksheets/sheet1.xml><?xml version="1.0" encoding="utf-8"?>
<worksheet xmlns="http://schemas.openxmlformats.org/spreadsheetml/2006/main">
  <sheetPr filterMode="0">
    <tabColor rgb="00E6B33A"/>
    <outlinePr summaryBelow="1" summaryRight="1"/>
    <pageSetUpPr fitToPage="0"/>
  </sheetPr>
  <dimension ref="A1:F45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" customWidth="1" style="53" min="1" max="1"/>
    <col width="22" customWidth="1" style="54" min="2" max="2"/>
    <col width="30" customWidth="1" style="54" min="3" max="3"/>
    <col width="30" customWidth="1" style="54" min="4" max="4"/>
    <col width="30" customWidth="1" style="54" min="5" max="5"/>
    <col width="3" customWidth="1" style="54" min="6" max="6"/>
    <col width="3" customWidth="1" style="54" min="7" max="7"/>
    <col width="3" customWidth="1" style="54" min="8" max="8"/>
  </cols>
  <sheetData>
    <row r="1" ht="18" customHeight="1" s="54">
      <c r="A1" s="55" t="n"/>
      <c r="B1" s="56" t="n"/>
      <c r="C1" s="56" t="n"/>
      <c r="D1" s="56" t="n"/>
      <c r="E1" s="56" t="n"/>
      <c r="F1" s="56" t="n"/>
    </row>
    <row r="2" ht="18" customHeight="1" s="54">
      <c r="A2" s="55" t="n"/>
      <c r="B2" s="56" t="n"/>
      <c r="C2" s="56" t="n"/>
      <c r="D2" s="56" t="n"/>
      <c r="E2" s="56" t="n"/>
      <c r="F2" s="56" t="n"/>
    </row>
    <row r="3" ht="18" customHeight="1" s="54">
      <c r="A3" s="55" t="n"/>
      <c r="B3" s="56" t="n"/>
      <c r="C3" s="56" t="n"/>
      <c r="D3" s="57" t="inlineStr">
        <is>
          <t>THE TOOLKIT</t>
        </is>
      </c>
      <c r="E3" s="56" t="n"/>
      <c r="F3" s="56" t="n"/>
    </row>
    <row r="4" ht="18" customHeight="1" s="54">
      <c r="A4" s="55" t="n"/>
      <c r="B4" s="56" t="n"/>
      <c r="C4" s="56" t="n"/>
      <c r="D4" s="58" t="inlineStr">
        <is>
          <t>Version 1.4  |  103 calculators</t>
        </is>
      </c>
      <c r="E4" s="56" t="n"/>
      <c r="F4" s="56" t="n"/>
    </row>
    <row r="5" ht="18" customHeight="1" s="54">
      <c r="A5" s="55" t="n"/>
      <c r="B5" s="56" t="n"/>
      <c r="C5" s="56" t="n"/>
      <c r="D5" s="56" t="n"/>
      <c r="E5" s="56" t="n"/>
      <c r="F5" s="56" t="n"/>
    </row>
    <row r="6" ht="18" customHeight="1" s="54">
      <c r="A6" s="55" t="n"/>
      <c r="B6" s="56" t="n"/>
      <c r="C6" s="56" t="n"/>
      <c r="D6" s="56" t="n"/>
      <c r="E6" s="56" t="n"/>
      <c r="F6" s="56" t="n"/>
    </row>
    <row r="7" ht="18" customHeight="1" s="54">
      <c r="A7" s="55" t="n"/>
      <c r="B7" s="56" t="n"/>
      <c r="C7" s="56" t="n"/>
      <c r="D7" s="56" t="n"/>
      <c r="E7" s="56" t="n"/>
      <c r="F7" s="56" t="n"/>
    </row>
    <row r="8" ht="15" customHeight="1" s="54">
      <c r="A8" s="59" t="n"/>
      <c r="B8" s="60" t="n"/>
      <c r="C8" s="60" t="n"/>
      <c r="D8" s="60" t="n"/>
      <c r="E8" s="60" t="n"/>
      <c r="F8" s="60" t="n"/>
    </row>
    <row r="9" ht="30" customHeight="1" s="54">
      <c r="A9" s="59" t="n"/>
      <c r="B9" s="61" t="inlineStr">
        <is>
          <t>Think like a farmer. Count like a banker.</t>
        </is>
      </c>
      <c r="F9" s="60" t="n"/>
    </row>
    <row r="10" ht="30" customHeight="1" s="54">
      <c r="A10" s="59" t="n"/>
      <c r="B10" s="62" t="inlineStr">
        <is>
          <t>Every calculator in RIMAI Agribusiness School, the 14-day course, in one workbook, keyed to your land, your country and your Major.</t>
        </is>
      </c>
      <c r="F10" s="60" t="n"/>
    </row>
    <row r="11" ht="15" customHeight="1" s="54">
      <c r="A11" s="59" t="n"/>
      <c r="B11" s="60" t="n"/>
      <c r="C11" s="60" t="n"/>
      <c r="D11" s="60" t="n"/>
      <c r="E11" s="60" t="n"/>
      <c r="F11" s="60" t="n"/>
    </row>
    <row r="12" ht="15" customHeight="1" s="54">
      <c r="A12" s="59" t="n"/>
      <c r="B12" s="63" t="inlineStr">
        <is>
          <t>How to use it</t>
        </is>
      </c>
      <c r="F12" s="60" t="n"/>
    </row>
    <row r="13" ht="34" customHeight="1" s="54">
      <c r="A13" s="59" t="n"/>
      <c r="B13" s="64" t="inlineStr">
        <is>
          <t>1</t>
        </is>
      </c>
      <c r="C13" s="65" t="inlineStr">
        <is>
          <t>Open Settings and enter your country, your hectares and your Major. Every sheet reads from there.</t>
        </is>
      </c>
      <c r="F13" s="60" t="n"/>
    </row>
    <row r="14" ht="34" customHeight="1" s="54">
      <c r="A14" s="59" t="n"/>
      <c r="B14" s="64" t="inlineStr">
        <is>
          <t>2</t>
        </is>
      </c>
      <c r="C14" s="65" t="inlineStr">
        <is>
          <t>Work through T-C-01 to T-C-08 as you study the eleven Core Course modules. They are chained: start-up capital feeds the loan, the loan feeds the cash flow.</t>
        </is>
      </c>
      <c r="F14" s="60" t="n"/>
    </row>
    <row r="15" ht="34" customHeight="1" s="54">
      <c r="A15" s="59" t="n"/>
      <c r="B15" s="64" t="inlineStr">
        <is>
          <t>3</t>
        </is>
      </c>
      <c r="C15" s="65" t="inlineStr">
        <is>
          <t>Work through the calculators for your Major. The Directory shows which sheet carries each code.</t>
        </is>
      </c>
      <c r="F15" s="60" t="n"/>
    </row>
    <row r="16" ht="34" customHeight="1" s="54">
      <c r="A16" s="59" t="n"/>
      <c r="B16" s="64" t="inlineStr">
        <is>
          <t>4</t>
        </is>
      </c>
      <c r="C16" s="65" t="inlineStr">
        <is>
          <t>Open T-CAP-01 Venture Plan Builder. It pulls your results onto one page and runs six readiness checks for certification.</t>
        </is>
      </c>
      <c r="F16" s="60" t="n"/>
    </row>
    <row r="17" ht="26.25" customHeight="1" s="54">
      <c r="A17" s="59" t="n"/>
      <c r="B17" s="60" t="n"/>
      <c r="C17" s="60" t="n"/>
      <c r="D17" s="60" t="n"/>
      <c r="E17" s="60" t="n"/>
      <c r="F17" s="60" t="n"/>
    </row>
    <row r="18" ht="15" customHeight="1" s="54">
      <c r="A18" s="59" t="n"/>
      <c r="B18" s="63" t="inlineStr">
        <is>
          <t>Colour code</t>
        </is>
      </c>
      <c r="F18" s="60" t="n"/>
    </row>
    <row r="19" ht="15" customHeight="1" s="54">
      <c r="A19" s="59" t="n"/>
      <c r="B19" s="66" t="inlineStr">
        <is>
          <t>128</t>
        </is>
      </c>
      <c r="C19" s="65" t="inlineStr">
        <is>
          <t>Yellow cells are yours. Type your own figures over them.</t>
        </is>
      </c>
      <c r="F19" s="60" t="n"/>
    </row>
    <row r="20">
      <c r="A20" s="60" t="n"/>
      <c r="B20" s="67">
        <f>B19*2</f>
        <v/>
      </c>
      <c r="C20" s="65" t="inlineStr">
        <is>
          <t>White cells calculate. Leave them alone.</t>
        </is>
      </c>
      <c r="F20" s="60" t="n"/>
    </row>
    <row r="21">
      <c r="A21" s="60" t="n"/>
      <c r="B21" s="68" t="inlineStr">
        <is>
          <t>Header</t>
        </is>
      </c>
      <c r="C21" s="65" t="inlineStr">
        <is>
          <t>Green bars head each table.</t>
        </is>
      </c>
      <c r="F21" s="60" t="n"/>
    </row>
    <row r="22">
      <c r="A22" s="60" t="n"/>
      <c r="B22" s="60" t="n"/>
      <c r="C22" s="60" t="n"/>
      <c r="D22" s="60" t="n"/>
      <c r="E22" s="60" t="n"/>
      <c r="F22" s="60" t="n"/>
    </row>
    <row r="23">
      <c r="A23" s="60" t="n"/>
      <c r="B23" s="63" t="inlineStr">
        <is>
          <t>The worked example</t>
        </is>
      </c>
      <c r="F23" s="60" t="n"/>
    </row>
    <row r="24" ht="46" customHeight="1" s="54">
      <c r="A24" s="60" t="n"/>
      <c r="B24" s="65" t="inlineStr">
        <is>
          <t>The yellow cells now hold a worked example: two hectares in Chegutu, Zimbabwe, priced in US dollars. Replace every one with your own figures. A plan that still carries the example will not certify.</t>
        </is>
      </c>
      <c r="F24" s="60" t="n"/>
    </row>
    <row r="25">
      <c r="A25" s="60" t="n"/>
      <c r="B25" s="60" t="n"/>
      <c r="C25" s="60" t="n"/>
      <c r="D25" s="60" t="n"/>
      <c r="E25" s="60" t="n"/>
      <c r="F25" s="60" t="n"/>
    </row>
    <row r="26">
      <c r="A26" s="60" t="n"/>
      <c r="B26" s="63" t="inlineStr">
        <is>
          <t>Where the figures come from</t>
        </is>
      </c>
      <c r="F26" s="60" t="n"/>
    </row>
    <row r="27" ht="34" customHeight="1" s="54">
      <c r="A27" s="60" t="n"/>
      <c r="B27" s="65" t="inlineStr">
        <is>
          <t>Benchmarks carries dated prices from the RIMAI data layer, with the year and the source of each figure. Check the date before you rely on a default.</t>
        </is>
      </c>
      <c r="F27" s="60" t="n"/>
    </row>
    <row r="28">
      <c r="A28" s="60" t="n"/>
      <c r="B28" s="60" t="n"/>
      <c r="C28" s="60" t="n"/>
      <c r="D28" s="60" t="n"/>
      <c r="E28" s="60" t="n"/>
      <c r="F28" s="60" t="n"/>
    </row>
    <row r="29">
      <c r="A29" s="60" t="n"/>
      <c r="B29" s="63" t="inlineStr">
        <is>
          <t>Take the next step</t>
        </is>
      </c>
      <c r="F29" s="60" t="n"/>
    </row>
    <row r="30" ht="46" customHeight="1" s="54">
      <c r="A30" s="60" t="n"/>
      <c r="B30" s="65" t="inlineStr">
        <is>
          <t>Where a calculator ends in an action, the sheet names the partner platform that does it: Moeletsi Africa to register and plan, Mashofe.com to move a load, Musika to source supplies, Chinyama.com to sell livestock.</t>
        </is>
      </c>
      <c r="F30" s="60" t="n"/>
    </row>
    <row r="31">
      <c r="A31" s="60" t="n"/>
      <c r="B31" s="60" t="n"/>
      <c r="C31" s="60" t="n"/>
      <c r="D31" s="60" t="n"/>
      <c r="E31" s="60" t="n"/>
      <c r="F31" s="60" t="n"/>
    </row>
    <row r="32" ht="30" customHeight="1" s="54">
      <c r="A32" s="60" t="n"/>
      <c r="B32" s="69" t="inlineStr">
        <is>
          <t>Eight of these calculators also run live, with nothing to download, on the Calculators page of the RIMAI site.</t>
        </is>
      </c>
      <c r="F32" s="60" t="n"/>
    </row>
    <row r="33">
      <c r="A33" s="60" t="n"/>
      <c r="B33" s="60" t="n"/>
      <c r="C33" s="60" t="n"/>
      <c r="D33" s="60" t="n"/>
      <c r="E33" s="60" t="n"/>
      <c r="F33" s="60" t="n"/>
    </row>
    <row r="34" ht="6" customHeight="1" s="54">
      <c r="A34" s="56" t="n"/>
      <c r="B34" s="56" t="n"/>
      <c r="C34" s="56" t="n"/>
      <c r="D34" s="56" t="n"/>
      <c r="E34" s="56" t="n"/>
      <c r="F34" s="56" t="n"/>
    </row>
    <row r="35">
      <c r="A35" s="60" t="n"/>
      <c r="B35" s="70" t="inlineStr">
        <is>
          <t>RIMAI Agribusiness School is a product of Cabanga Africa Group (Pty) Ltd. Built by Cabanga Platforms.</t>
        </is>
      </c>
      <c r="F35" s="60" t="n"/>
    </row>
    <row r="36">
      <c r="A36" s="60" t="n"/>
      <c r="B36" s="60" t="n"/>
      <c r="C36" s="60" t="n"/>
      <c r="D36" s="60" t="n"/>
      <c r="E36" s="60" t="n"/>
      <c r="F36" s="60" t="n"/>
    </row>
    <row r="37">
      <c r="A37" s="60" t="n"/>
      <c r="B37" s="60" t="n"/>
      <c r="C37" s="60" t="n"/>
      <c r="D37" s="60" t="n"/>
      <c r="E37" s="60" t="n"/>
      <c r="F37" s="60" t="n"/>
    </row>
    <row r="38">
      <c r="A38" s="60" t="n"/>
      <c r="B38" s="60" t="n"/>
      <c r="C38" s="60" t="n"/>
      <c r="D38" s="60" t="n"/>
      <c r="E38" s="60" t="n"/>
      <c r="F38" s="60" t="n"/>
    </row>
    <row r="39">
      <c r="A39" s="60" t="n"/>
      <c r="B39" s="60" t="n"/>
      <c r="C39" s="60" t="n"/>
      <c r="D39" s="60" t="n"/>
      <c r="E39" s="60" t="n"/>
      <c r="F39" s="60" t="n"/>
    </row>
    <row r="40">
      <c r="A40" s="60" t="n"/>
      <c r="B40" s="60" t="n"/>
      <c r="C40" s="60" t="n"/>
      <c r="D40" s="60" t="n"/>
      <c r="E40" s="60" t="n"/>
      <c r="F40" s="60" t="n"/>
    </row>
    <row r="41">
      <c r="A41" s="60" t="n"/>
      <c r="B41" s="60" t="n"/>
      <c r="C41" s="60" t="n"/>
      <c r="D41" s="60" t="n"/>
      <c r="E41" s="60" t="n"/>
      <c r="F41" s="60" t="n"/>
    </row>
    <row r="42">
      <c r="A42" s="60" t="n"/>
      <c r="B42" s="60" t="n"/>
      <c r="C42" s="60" t="n"/>
      <c r="D42" s="60" t="n"/>
      <c r="E42" s="60" t="n"/>
      <c r="F42" s="60" t="n"/>
    </row>
    <row r="43">
      <c r="A43" s="60" t="n"/>
      <c r="B43" s="60" t="n"/>
      <c r="C43" s="60" t="n"/>
      <c r="D43" s="60" t="n"/>
      <c r="E43" s="60" t="n"/>
      <c r="F43" s="60" t="n"/>
    </row>
    <row r="44">
      <c r="A44" s="60" t="n"/>
      <c r="B44" s="60" t="n"/>
      <c r="C44" s="60" t="n"/>
      <c r="D44" s="60" t="n"/>
      <c r="E44" s="60" t="n"/>
      <c r="F44" s="60" t="n"/>
    </row>
    <row r="45">
      <c r="A45" s="60" t="n"/>
      <c r="B45" s="60" t="n"/>
      <c r="C45" s="60" t="n"/>
      <c r="D45" s="60" t="n"/>
      <c r="E45" s="60" t="n"/>
      <c r="F45" s="60" t="n"/>
    </row>
  </sheetData>
  <mergeCells count="19">
    <mergeCell ref="C16:E16"/>
    <mergeCell ref="B9:E9"/>
    <mergeCell ref="B30:E30"/>
    <mergeCell ref="B24:E24"/>
    <mergeCell ref="C21:E21"/>
    <mergeCell ref="B32:E32"/>
    <mergeCell ref="B26:E26"/>
    <mergeCell ref="B35:E35"/>
    <mergeCell ref="B18:E18"/>
    <mergeCell ref="B27:E27"/>
    <mergeCell ref="C13:E13"/>
    <mergeCell ref="C19:E19"/>
    <mergeCell ref="B12:E12"/>
    <mergeCell ref="C15:E15"/>
    <mergeCell ref="B23:E23"/>
    <mergeCell ref="C14:E14"/>
    <mergeCell ref="B29:E29"/>
    <mergeCell ref="B10:E10"/>
    <mergeCell ref="C20:E20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/>
    <oddFooter>&amp;LRIMAI Agribusiness School  |  The Toolkit v1.4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E10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2" customWidth="1" style="53" min="1" max="1"/>
    <col width="34" customWidth="1" style="53" min="2" max="2"/>
    <col width="38" customWidth="1" style="53" min="3" max="3"/>
    <col width="8" customWidth="1" style="53" min="4" max="4"/>
    <col width="30" customWidth="1" style="53" min="5" max="5"/>
  </cols>
  <sheetData>
    <row r="1" ht="17.25" customHeight="1" s="54">
      <c r="A1" s="71" t="inlineStr">
        <is>
          <t>DIRECTORY  Every calculator code and where to find it</t>
        </is>
      </c>
    </row>
    <row r="2" ht="15" customHeight="1" s="54">
      <c r="A2" s="72" t="inlineStr">
        <is>
          <t>The Lessons and the Dictionary name calculators by code. Find the code here and open the sheet shown.</t>
        </is>
      </c>
    </row>
    <row r="3"/>
    <row r="4" ht="26.25" customHeight="1" s="54">
      <c r="A4" s="73" t="inlineStr">
        <is>
          <t>Code</t>
        </is>
      </c>
      <c r="B4" s="73" t="inlineStr">
        <is>
          <t>Calculator</t>
        </is>
      </c>
      <c r="C4" s="73" t="inlineStr">
        <is>
          <t>What it answers</t>
        </is>
      </c>
      <c r="D4" s="73" t="inlineStr">
        <is>
          <t>Lesson</t>
        </is>
      </c>
      <c r="E4" s="73" t="inlineStr">
        <is>
          <t>Open sheet</t>
        </is>
      </c>
    </row>
    <row r="5" ht="15" customHeight="1" s="54">
      <c r="A5" s="74" t="inlineStr">
        <is>
          <t>T-C-01</t>
        </is>
      </c>
      <c r="B5" s="74" t="inlineStr">
        <is>
          <t>Land Use Planner</t>
        </is>
      </c>
      <c r="C5" s="74" t="inlineStr">
        <is>
          <t>How to split my hectares between enterprises</t>
        </is>
      </c>
      <c r="D5" s="74" t="inlineStr">
        <is>
          <t>C1</t>
        </is>
      </c>
      <c r="E5" s="75" t="inlineStr">
        <is>
          <t>T-C-01 Land Use</t>
        </is>
      </c>
    </row>
    <row r="6" ht="15" customHeight="1" s="54">
      <c r="A6" s="74" t="inlineStr">
        <is>
          <t>T-C-02</t>
        </is>
      </c>
      <c r="B6" s="74" t="inlineStr">
        <is>
          <t>Start-Up Capital Calculator</t>
        </is>
      </c>
      <c r="C6" s="74" t="inlineStr">
        <is>
          <t>What it costs to get going</t>
        </is>
      </c>
      <c r="D6" s="74" t="inlineStr">
        <is>
          <t>C2</t>
        </is>
      </c>
      <c r="E6" s="75" t="inlineStr">
        <is>
          <t>T-C-02 Start-Up Capital</t>
        </is>
      </c>
    </row>
    <row r="7" ht="15" customHeight="1" s="54">
      <c r="A7" s="74" t="inlineStr">
        <is>
          <t>T-C-03</t>
        </is>
      </c>
      <c r="B7" s="74" t="inlineStr">
        <is>
          <t>Loan Repayment Calculator</t>
        </is>
      </c>
      <c r="C7" s="74" t="inlineStr">
        <is>
          <t>What a loan really costs each month</t>
        </is>
      </c>
      <c r="D7" s="74" t="inlineStr">
        <is>
          <t>C2</t>
        </is>
      </c>
      <c r="E7" s="75" t="inlineStr">
        <is>
          <t>T-C-03 Loan</t>
        </is>
      </c>
    </row>
    <row r="8" ht="15" customHeight="1" s="54">
      <c r="A8" s="74" t="inlineStr">
        <is>
          <t>T-C-04</t>
        </is>
      </c>
      <c r="B8" s="74" t="inlineStr">
        <is>
          <t>Twelve-Month Cash Flow</t>
        </is>
      </c>
      <c r="C8" s="74" t="inlineStr">
        <is>
          <t>When money goes out and comes back in</t>
        </is>
      </c>
      <c r="D8" s="74" t="inlineStr">
        <is>
          <t>C2</t>
        </is>
      </c>
      <c r="E8" s="75" t="inlineStr">
        <is>
          <t>T-C-04 Cash Flow</t>
        </is>
      </c>
    </row>
    <row r="9" ht="15" customHeight="1" s="54">
      <c r="A9" s="74" t="inlineStr">
        <is>
          <t>T-C-05</t>
        </is>
      </c>
      <c r="B9" s="74" t="inlineStr">
        <is>
          <t>Delivered Cost Calculator</t>
        </is>
      </c>
      <c r="C9" s="74" t="inlineStr">
        <is>
          <t>What it costs to get produce to the buyer</t>
        </is>
      </c>
      <c r="D9" s="74" t="inlineStr">
        <is>
          <t>C5</t>
        </is>
      </c>
      <c r="E9" s="75" t="inlineStr">
        <is>
          <t>T-C-05 Delivered Cost</t>
        </is>
      </c>
    </row>
    <row r="10" ht="15" customHeight="1" s="54">
      <c r="A10" s="74" t="inlineStr">
        <is>
          <t>T-C-06</t>
        </is>
      </c>
      <c r="B10" s="74" t="inlineStr">
        <is>
          <t>Break-Even Calculator</t>
        </is>
      </c>
      <c r="C10" s="74" t="inlineStr">
        <is>
          <t>How much I must sell before I make money</t>
        </is>
      </c>
      <c r="D10" s="74" t="inlineStr">
        <is>
          <t>C4</t>
        </is>
      </c>
      <c r="E10" s="75" t="inlineStr">
        <is>
          <t>T-C-06 Break-Even</t>
        </is>
      </c>
    </row>
    <row r="11" ht="15" customHeight="1" s="54">
      <c r="A11" s="74" t="inlineStr">
        <is>
          <t>T-C-07</t>
        </is>
      </c>
      <c r="B11" s="74" t="inlineStr">
        <is>
          <t>Risk Register</t>
        </is>
      </c>
      <c r="C11" s="74" t="inlineStr">
        <is>
          <t>What could go wrong and what it would cost</t>
        </is>
      </c>
      <c r="D11" s="74" t="inlineStr">
        <is>
          <t>C9</t>
        </is>
      </c>
      <c r="E11" s="75" t="inlineStr">
        <is>
          <t>T-C-07 Risk Register</t>
        </is>
      </c>
    </row>
    <row r="12" ht="15" customHeight="1" s="54">
      <c r="A12" s="74" t="inlineStr">
        <is>
          <t>T-C-08</t>
        </is>
      </c>
      <c r="B12" s="74" t="inlineStr">
        <is>
          <t>People and Labour Cost</t>
        </is>
      </c>
      <c r="C12" s="74" t="inlineStr">
        <is>
          <t>What my team costs, how many local jobs I create and what reaches the community</t>
        </is>
      </c>
      <c r="D12" s="74" t="inlineStr">
        <is>
          <t>C11</t>
        </is>
      </c>
      <c r="E12" s="75" t="inlineStr">
        <is>
          <t>T-C-08 People and Labour</t>
        </is>
      </c>
    </row>
    <row r="13" ht="15" customHeight="1" s="54">
      <c r="A13" s="74" t="inlineStr">
        <is>
          <t>T-M1-01</t>
        </is>
      </c>
      <c r="B13" s="74" t="inlineStr">
        <is>
          <t>Enterprise Budget</t>
        </is>
      </c>
      <c r="C13" s="74" t="inlineStr">
        <is>
          <t>Income, variable costs and gross margin per hectare or per unit</t>
        </is>
      </c>
      <c r="D13" s="74" t="inlineStr">
        <is>
          <t>M1</t>
        </is>
      </c>
      <c r="E13" s="75" t="inlineStr">
        <is>
          <t>Enterprise Budget</t>
        </is>
      </c>
    </row>
    <row r="14" ht="15" customHeight="1" s="54">
      <c r="A14" s="74" t="inlineStr">
        <is>
          <t>T-M1-02</t>
        </is>
      </c>
      <c r="B14" s="74" t="inlineStr">
        <is>
          <t>Input Plan per Hectare</t>
        </is>
      </c>
      <c r="C14" s="74" t="inlineStr">
        <is>
          <t>Commodity-specific tool for Maize</t>
        </is>
      </c>
      <c r="D14" s="74" t="inlineStr">
        <is>
          <t>M1</t>
        </is>
      </c>
      <c r="E14" s="75" t="inlineStr">
        <is>
          <t>Input Plan</t>
        </is>
      </c>
    </row>
    <row r="15" ht="15" customHeight="1" s="54">
      <c r="A15" s="74" t="inlineStr">
        <is>
          <t>T-M1-03</t>
        </is>
      </c>
      <c r="B15" s="74" t="inlineStr">
        <is>
          <t>Yield-to-Income Calculator</t>
        </is>
      </c>
      <c r="C15" s="74" t="inlineStr">
        <is>
          <t>Commodity-specific tool for Maize</t>
        </is>
      </c>
      <c r="D15" s="74" t="inlineStr">
        <is>
          <t>M1</t>
        </is>
      </c>
      <c r="E15" s="75" t="inlineStr">
        <is>
          <t>Yield-to-Income</t>
        </is>
      </c>
    </row>
    <row r="16" ht="15" customHeight="1" s="54">
      <c r="A16" s="74" t="inlineStr">
        <is>
          <t>T-M1-04</t>
        </is>
      </c>
      <c r="B16" s="74" t="inlineStr">
        <is>
          <t>Storage versus Sell-at-Harvest</t>
        </is>
      </c>
      <c r="C16" s="74" t="inlineStr">
        <is>
          <t>Commodity-specific tool for Maize</t>
        </is>
      </c>
      <c r="D16" s="74" t="inlineStr">
        <is>
          <t>M1</t>
        </is>
      </c>
      <c r="E16" s="75" t="inlineStr">
        <is>
          <t>Storage vs Sell</t>
        </is>
      </c>
    </row>
    <row r="17" ht="15" customHeight="1" s="54">
      <c r="A17" s="74" t="inlineStr">
        <is>
          <t>T-M1-05</t>
        </is>
      </c>
      <c r="B17" s="74" t="inlineStr">
        <is>
          <t>Market Price Comparator</t>
        </is>
      </c>
      <c r="C17" s="74" t="inlineStr">
        <is>
          <t>The student's price against the benchmark and the four markets</t>
        </is>
      </c>
      <c r="D17" s="74" t="inlineStr">
        <is>
          <t>M1</t>
        </is>
      </c>
      <c r="E17" s="75" t="inlineStr">
        <is>
          <t>Market Price Comparator</t>
        </is>
      </c>
    </row>
    <row r="18" ht="15" customHeight="1" s="54">
      <c r="A18" s="74" t="inlineStr">
        <is>
          <t>T-M2-01</t>
        </is>
      </c>
      <c r="B18" s="74" t="inlineStr">
        <is>
          <t>Enterprise Budget</t>
        </is>
      </c>
      <c r="C18" s="74" t="inlineStr">
        <is>
          <t>Income, variable costs and gross margin per hectare or per unit</t>
        </is>
      </c>
      <c r="D18" s="74" t="inlineStr">
        <is>
          <t>M2</t>
        </is>
      </c>
      <c r="E18" s="75" t="inlineStr">
        <is>
          <t>Enterprise Budget</t>
        </is>
      </c>
    </row>
    <row r="19" ht="15" customHeight="1" s="54">
      <c r="A19" s="74" t="inlineStr">
        <is>
          <t>T-M2-02</t>
        </is>
      </c>
      <c r="B19" s="74" t="inlineStr">
        <is>
          <t>Input Plan per Hectare</t>
        </is>
      </c>
      <c r="C19" s="74" t="inlineStr">
        <is>
          <t>Commodity-specific tool for Small Grains and Sorghum</t>
        </is>
      </c>
      <c r="D19" s="74" t="inlineStr">
        <is>
          <t>M2</t>
        </is>
      </c>
      <c r="E19" s="75" t="inlineStr">
        <is>
          <t>Input Plan</t>
        </is>
      </c>
    </row>
    <row r="20" ht="15" customHeight="1" s="54">
      <c r="A20" s="74" t="inlineStr">
        <is>
          <t>T-M2-03</t>
        </is>
      </c>
      <c r="B20" s="74" t="inlineStr">
        <is>
          <t>Yield-to-Income Calculator</t>
        </is>
      </c>
      <c r="C20" s="74" t="inlineStr">
        <is>
          <t>Commodity-specific tool for Small Grains and Sorghum</t>
        </is>
      </c>
      <c r="D20" s="74" t="inlineStr">
        <is>
          <t>M2</t>
        </is>
      </c>
      <c r="E20" s="75" t="inlineStr">
        <is>
          <t>Yield-to-Income</t>
        </is>
      </c>
    </row>
    <row r="21" ht="15" customHeight="1" s="54">
      <c r="A21" s="74" t="inlineStr">
        <is>
          <t>T-M2-04</t>
        </is>
      </c>
      <c r="B21" s="74" t="inlineStr">
        <is>
          <t>Storage versus Sell-at-Harvest</t>
        </is>
      </c>
      <c r="C21" s="74" t="inlineStr">
        <is>
          <t>Commodity-specific tool for Small Grains and Sorghum</t>
        </is>
      </c>
      <c r="D21" s="74" t="inlineStr">
        <is>
          <t>M2</t>
        </is>
      </c>
      <c r="E21" s="75" t="inlineStr">
        <is>
          <t>Storage vs Sell</t>
        </is>
      </c>
    </row>
    <row r="22" ht="15" customHeight="1" s="54">
      <c r="A22" s="74" t="inlineStr">
        <is>
          <t>T-M2-05</t>
        </is>
      </c>
      <c r="B22" s="74" t="inlineStr">
        <is>
          <t>Market Price Comparator</t>
        </is>
      </c>
      <c r="C22" s="74" t="inlineStr">
        <is>
          <t>The student's price against the benchmark and the four markets</t>
        </is>
      </c>
      <c r="D22" s="74" t="inlineStr">
        <is>
          <t>M2</t>
        </is>
      </c>
      <c r="E22" s="75" t="inlineStr">
        <is>
          <t>Market Price Comparator</t>
        </is>
      </c>
    </row>
    <row r="23" ht="15" customHeight="1" s="54">
      <c r="A23" s="74" t="inlineStr">
        <is>
          <t>T-M3-01</t>
        </is>
      </c>
      <c r="B23" s="74" t="inlineStr">
        <is>
          <t>Enterprise Budget</t>
        </is>
      </c>
      <c r="C23" s="74" t="inlineStr">
        <is>
          <t>Income, variable costs and gross margin per hectare or per unit</t>
        </is>
      </c>
      <c r="D23" s="74" t="inlineStr">
        <is>
          <t>M3</t>
        </is>
      </c>
      <c r="E23" s="75" t="inlineStr">
        <is>
          <t>Enterprise Budget</t>
        </is>
      </c>
    </row>
    <row r="24" ht="15" customHeight="1" s="54">
      <c r="A24" s="74" t="inlineStr">
        <is>
          <t>T-M3-02</t>
        </is>
      </c>
      <c r="B24" s="74" t="inlineStr">
        <is>
          <t>Input Plan per Hectare</t>
        </is>
      </c>
      <c r="C24" s="74" t="inlineStr">
        <is>
          <t>Commodity-specific tool for Oilseeds</t>
        </is>
      </c>
      <c r="D24" s="74" t="inlineStr">
        <is>
          <t>M3</t>
        </is>
      </c>
      <c r="E24" s="75" t="inlineStr">
        <is>
          <t>Input Plan</t>
        </is>
      </c>
    </row>
    <row r="25" ht="15" customHeight="1" s="54">
      <c r="A25" s="74" t="inlineStr">
        <is>
          <t>T-M3-03</t>
        </is>
      </c>
      <c r="B25" s="74" t="inlineStr">
        <is>
          <t>Yield-to-Income Calculator</t>
        </is>
      </c>
      <c r="C25" s="74" t="inlineStr">
        <is>
          <t>Commodity-specific tool for Oilseeds</t>
        </is>
      </c>
      <c r="D25" s="74" t="inlineStr">
        <is>
          <t>M3</t>
        </is>
      </c>
      <c r="E25" s="75" t="inlineStr">
        <is>
          <t>Yield-to-Income</t>
        </is>
      </c>
    </row>
    <row r="26" ht="15" customHeight="1" s="54">
      <c r="A26" s="74" t="inlineStr">
        <is>
          <t>T-M3-04</t>
        </is>
      </c>
      <c r="B26" s="74" t="inlineStr">
        <is>
          <t>Storage versus Sell-at-Harvest</t>
        </is>
      </c>
      <c r="C26" s="74" t="inlineStr">
        <is>
          <t>Commodity-specific tool for Oilseeds</t>
        </is>
      </c>
      <c r="D26" s="74" t="inlineStr">
        <is>
          <t>M3</t>
        </is>
      </c>
      <c r="E26" s="75" t="inlineStr">
        <is>
          <t>Storage vs Sell</t>
        </is>
      </c>
    </row>
    <row r="27" ht="15" customHeight="1" s="54">
      <c r="A27" s="74" t="inlineStr">
        <is>
          <t>T-M3-05</t>
        </is>
      </c>
      <c r="B27" s="74" t="inlineStr">
        <is>
          <t>Market Price Comparator</t>
        </is>
      </c>
      <c r="C27" s="74" t="inlineStr">
        <is>
          <t>The student's price against the benchmark and the four markets</t>
        </is>
      </c>
      <c r="D27" s="74" t="inlineStr">
        <is>
          <t>M3</t>
        </is>
      </c>
      <c r="E27" s="75" t="inlineStr">
        <is>
          <t>Market Price Comparator</t>
        </is>
      </c>
    </row>
    <row r="28" ht="15" customHeight="1" s="54">
      <c r="A28" s="74" t="inlineStr">
        <is>
          <t>T-M4-01</t>
        </is>
      </c>
      <c r="B28" s="74" t="inlineStr">
        <is>
          <t>Enterprise Budget</t>
        </is>
      </c>
      <c r="C28" s="74" t="inlineStr">
        <is>
          <t>Income, variable costs and gross margin per hectare or per unit</t>
        </is>
      </c>
      <c r="D28" s="74" t="inlineStr">
        <is>
          <t>M4</t>
        </is>
      </c>
      <c r="E28" s="75" t="inlineStr">
        <is>
          <t>Enterprise Budget</t>
        </is>
      </c>
    </row>
    <row r="29" ht="15" customHeight="1" s="54">
      <c r="A29" s="74" t="inlineStr">
        <is>
          <t>T-M4-02</t>
        </is>
      </c>
      <c r="B29" s="74" t="inlineStr">
        <is>
          <t>Orchard Establishment Cost</t>
        </is>
      </c>
      <c r="C29" s="74" t="inlineStr">
        <is>
          <t>Commodity-specific tool for Citrus</t>
        </is>
      </c>
      <c r="D29" s="74" t="inlineStr">
        <is>
          <t>M4</t>
        </is>
      </c>
      <c r="E29" s="75" t="inlineStr">
        <is>
          <t>Establishment Cost</t>
        </is>
      </c>
    </row>
    <row r="30" ht="15" customHeight="1" s="54">
      <c r="A30" s="74" t="inlineStr">
        <is>
          <t>T-M4-03</t>
        </is>
      </c>
      <c r="B30" s="74" t="inlineStr">
        <is>
          <t>Years-to-First-Income</t>
        </is>
      </c>
      <c r="C30" s="74" t="inlineStr">
        <is>
          <t>Commodity-specific tool for Citrus</t>
        </is>
      </c>
      <c r="D30" s="74" t="inlineStr">
        <is>
          <t>M4</t>
        </is>
      </c>
      <c r="E30" s="75" t="inlineStr">
        <is>
          <t>Years-to-First-Income</t>
        </is>
      </c>
    </row>
    <row r="31" ht="15" customHeight="1" s="54">
      <c r="A31" s="74" t="inlineStr">
        <is>
          <t>T-M4-04</t>
        </is>
      </c>
      <c r="B31" s="74" t="inlineStr">
        <is>
          <t>Export versus Local Sale</t>
        </is>
      </c>
      <c r="C31" s="74" t="inlineStr">
        <is>
          <t>Commodity-specific tool for Citrus</t>
        </is>
      </c>
      <c r="D31" s="74" t="inlineStr">
        <is>
          <t>M4</t>
        </is>
      </c>
      <c r="E31" s="75" t="inlineStr">
        <is>
          <t>Export vs Local</t>
        </is>
      </c>
    </row>
    <row r="32" ht="15" customHeight="1" s="54">
      <c r="A32" s="74" t="inlineStr">
        <is>
          <t>T-M4-05</t>
        </is>
      </c>
      <c r="B32" s="74" t="inlineStr">
        <is>
          <t>Market Price Comparator</t>
        </is>
      </c>
      <c r="C32" s="74" t="inlineStr">
        <is>
          <t>The student's price against the benchmark and the four markets</t>
        </is>
      </c>
      <c r="D32" s="74" t="inlineStr">
        <is>
          <t>M4</t>
        </is>
      </c>
      <c r="E32" s="75" t="inlineStr">
        <is>
          <t>Market Price Comparator</t>
        </is>
      </c>
    </row>
    <row r="33" ht="15" customHeight="1" s="54">
      <c r="A33" s="74" t="inlineStr">
        <is>
          <t>T-M5-01</t>
        </is>
      </c>
      <c r="B33" s="74" t="inlineStr">
        <is>
          <t>Enterprise Budget</t>
        </is>
      </c>
      <c r="C33" s="74" t="inlineStr">
        <is>
          <t>Income, variable costs and gross margin per hectare or per unit</t>
        </is>
      </c>
      <c r="D33" s="74" t="inlineStr">
        <is>
          <t>M5</t>
        </is>
      </c>
      <c r="E33" s="75" t="inlineStr">
        <is>
          <t>Enterprise Budget</t>
        </is>
      </c>
    </row>
    <row r="34" ht="15" customHeight="1" s="54">
      <c r="A34" s="74" t="inlineStr">
        <is>
          <t>T-M5-02</t>
        </is>
      </c>
      <c r="B34" s="74" t="inlineStr">
        <is>
          <t>Orchard Establishment Cost</t>
        </is>
      </c>
      <c r="C34" s="74" t="inlineStr">
        <is>
          <t>Commodity-specific tool for Deciduous Fruit and Table Grapes</t>
        </is>
      </c>
      <c r="D34" s="74" t="inlineStr">
        <is>
          <t>M5</t>
        </is>
      </c>
      <c r="E34" s="75" t="inlineStr">
        <is>
          <t>Establishment Cost</t>
        </is>
      </c>
    </row>
    <row r="35" ht="15" customHeight="1" s="54">
      <c r="A35" s="74" t="inlineStr">
        <is>
          <t>T-M5-03</t>
        </is>
      </c>
      <c r="B35" s="74" t="inlineStr">
        <is>
          <t>Years-to-First-Income</t>
        </is>
      </c>
      <c r="C35" s="74" t="inlineStr">
        <is>
          <t>Commodity-specific tool for Deciduous Fruit and Table Grapes</t>
        </is>
      </c>
      <c r="D35" s="74" t="inlineStr">
        <is>
          <t>M5</t>
        </is>
      </c>
      <c r="E35" s="75" t="inlineStr">
        <is>
          <t>Years-to-First-Income</t>
        </is>
      </c>
    </row>
    <row r="36" ht="15" customHeight="1" s="54">
      <c r="A36" s="74" t="inlineStr">
        <is>
          <t>T-M5-04</t>
        </is>
      </c>
      <c r="B36" s="74" t="inlineStr">
        <is>
          <t>Export versus Local Sale</t>
        </is>
      </c>
      <c r="C36" s="74" t="inlineStr">
        <is>
          <t>Commodity-specific tool for Deciduous Fruit and Table Grapes</t>
        </is>
      </c>
      <c r="D36" s="74" t="inlineStr">
        <is>
          <t>M5</t>
        </is>
      </c>
      <c r="E36" s="75" t="inlineStr">
        <is>
          <t>Export vs Local</t>
        </is>
      </c>
    </row>
    <row r="37" ht="15" customHeight="1" s="54">
      <c r="A37" s="74" t="inlineStr">
        <is>
          <t>T-M5-05</t>
        </is>
      </c>
      <c r="B37" s="74" t="inlineStr">
        <is>
          <t>Market Price Comparator</t>
        </is>
      </c>
      <c r="C37" s="74" t="inlineStr">
        <is>
          <t>The student's price against the benchmark and the four markets</t>
        </is>
      </c>
      <c r="D37" s="74" t="inlineStr">
        <is>
          <t>M5</t>
        </is>
      </c>
      <c r="E37" s="75" t="inlineStr">
        <is>
          <t>Market Price Comparator</t>
        </is>
      </c>
    </row>
    <row r="38" ht="15" customHeight="1" s="54">
      <c r="A38" s="74" t="inlineStr">
        <is>
          <t>T-M6-01</t>
        </is>
      </c>
      <c r="B38" s="74" t="inlineStr">
        <is>
          <t>Enterprise Budget</t>
        </is>
      </c>
      <c r="C38" s="74" t="inlineStr">
        <is>
          <t>Income, variable costs and gross margin per hectare or per unit</t>
        </is>
      </c>
      <c r="D38" s="74" t="inlineStr">
        <is>
          <t>M6</t>
        </is>
      </c>
      <c r="E38" s="75" t="inlineStr">
        <is>
          <t>Enterprise Budget</t>
        </is>
      </c>
    </row>
    <row r="39" ht="15" customHeight="1" s="54">
      <c r="A39" s="74" t="inlineStr">
        <is>
          <t>T-M6-02</t>
        </is>
      </c>
      <c r="B39" s="74" t="inlineStr">
        <is>
          <t>Orchard Establishment Cost</t>
        </is>
      </c>
      <c r="C39" s="74" t="inlineStr">
        <is>
          <t>Commodity-specific tool for Subtropical Fruit and Nuts</t>
        </is>
      </c>
      <c r="D39" s="74" t="inlineStr">
        <is>
          <t>M6</t>
        </is>
      </c>
      <c r="E39" s="75" t="inlineStr">
        <is>
          <t>Establishment Cost</t>
        </is>
      </c>
    </row>
    <row r="40" ht="15" customHeight="1" s="54">
      <c r="A40" s="74" t="inlineStr">
        <is>
          <t>T-M6-03</t>
        </is>
      </c>
      <c r="B40" s="74" t="inlineStr">
        <is>
          <t>Years-to-First-Income</t>
        </is>
      </c>
      <c r="C40" s="74" t="inlineStr">
        <is>
          <t>Commodity-specific tool for Subtropical Fruit and Nuts</t>
        </is>
      </c>
      <c r="D40" s="74" t="inlineStr">
        <is>
          <t>M6</t>
        </is>
      </c>
      <c r="E40" s="75" t="inlineStr">
        <is>
          <t>Years-to-First-Income</t>
        </is>
      </c>
    </row>
    <row r="41" ht="15" customHeight="1" s="54">
      <c r="A41" s="74" t="inlineStr">
        <is>
          <t>T-M6-04</t>
        </is>
      </c>
      <c r="B41" s="74" t="inlineStr">
        <is>
          <t>Export versus Local Sale</t>
        </is>
      </c>
      <c r="C41" s="74" t="inlineStr">
        <is>
          <t>Commodity-specific tool for Subtropical Fruit and Nuts</t>
        </is>
      </c>
      <c r="D41" s="74" t="inlineStr">
        <is>
          <t>M6</t>
        </is>
      </c>
      <c r="E41" s="75" t="inlineStr">
        <is>
          <t>Export vs Local</t>
        </is>
      </c>
    </row>
    <row r="42" ht="15" customHeight="1" s="54">
      <c r="A42" s="74" t="inlineStr">
        <is>
          <t>T-M6-05</t>
        </is>
      </c>
      <c r="B42" s="74" t="inlineStr">
        <is>
          <t>Market Price Comparator</t>
        </is>
      </c>
      <c r="C42" s="74" t="inlineStr">
        <is>
          <t>The student's price against the benchmark and the four markets</t>
        </is>
      </c>
      <c r="D42" s="74" t="inlineStr">
        <is>
          <t>M6</t>
        </is>
      </c>
      <c r="E42" s="75" t="inlineStr">
        <is>
          <t>Market Price Comparator</t>
        </is>
      </c>
    </row>
    <row r="43" ht="15" customHeight="1" s="54">
      <c r="A43" s="74" t="inlineStr">
        <is>
          <t>T-M7-01</t>
        </is>
      </c>
      <c r="B43" s="74" t="inlineStr">
        <is>
          <t>Enterprise Budget</t>
        </is>
      </c>
      <c r="C43" s="74" t="inlineStr">
        <is>
          <t>Income, variable costs and gross margin per hectare or per unit</t>
        </is>
      </c>
      <c r="D43" s="74" t="inlineStr">
        <is>
          <t>M7</t>
        </is>
      </c>
      <c r="E43" s="75" t="inlineStr">
        <is>
          <t>Enterprise Budget</t>
        </is>
      </c>
    </row>
    <row r="44" ht="15" customHeight="1" s="54">
      <c r="A44" s="74" t="inlineStr">
        <is>
          <t>T-M7-02</t>
        </is>
      </c>
      <c r="B44" s="74" t="inlineStr">
        <is>
          <t>Planting Schedule</t>
        </is>
      </c>
      <c r="C44" s="74" t="inlineStr">
        <is>
          <t>Commodity-specific tool for Potato</t>
        </is>
      </c>
      <c r="D44" s="74" t="inlineStr">
        <is>
          <t>M7</t>
        </is>
      </c>
      <c r="E44" s="75" t="inlineStr">
        <is>
          <t>Planting Schedule</t>
        </is>
      </c>
    </row>
    <row r="45" ht="15" customHeight="1" s="54">
      <c r="A45" s="74" t="inlineStr">
        <is>
          <t>T-M7-03</t>
        </is>
      </c>
      <c r="B45" s="74" t="inlineStr">
        <is>
          <t>Seed and Input Plan</t>
        </is>
      </c>
      <c r="C45" s="74" t="inlineStr">
        <is>
          <t>Commodity-specific tool for Potato</t>
        </is>
      </c>
      <c r="D45" s="74" t="inlineStr">
        <is>
          <t>M7</t>
        </is>
      </c>
      <c r="E45" s="75" t="inlineStr">
        <is>
          <t>Seed and Input Plan</t>
        </is>
      </c>
    </row>
    <row r="46" ht="15" customHeight="1" s="54">
      <c r="A46" s="74" t="inlineStr">
        <is>
          <t>T-M7-04</t>
        </is>
      </c>
      <c r="B46" s="74" t="inlineStr">
        <is>
          <t>Fresh Market versus Processor</t>
        </is>
      </c>
      <c r="C46" s="74" t="inlineStr">
        <is>
          <t>Commodity-specific tool for Potato</t>
        </is>
      </c>
      <c r="D46" s="74" t="inlineStr">
        <is>
          <t>M7</t>
        </is>
      </c>
      <c r="E46" s="75" t="inlineStr">
        <is>
          <t>Fresh vs Processor</t>
        </is>
      </c>
    </row>
    <row r="47" ht="15" customHeight="1" s="54">
      <c r="A47" s="74" t="inlineStr">
        <is>
          <t>T-M7-05</t>
        </is>
      </c>
      <c r="B47" s="74" t="inlineStr">
        <is>
          <t>Market Price Comparator</t>
        </is>
      </c>
      <c r="C47" s="74" t="inlineStr">
        <is>
          <t>The student's price against the benchmark and the four markets</t>
        </is>
      </c>
      <c r="D47" s="74" t="inlineStr">
        <is>
          <t>M7</t>
        </is>
      </c>
      <c r="E47" s="75" t="inlineStr">
        <is>
          <t>Market Price Comparator</t>
        </is>
      </c>
    </row>
    <row r="48" ht="15" customHeight="1" s="54">
      <c r="A48" s="74" t="inlineStr">
        <is>
          <t>T-M8-01</t>
        </is>
      </c>
      <c r="B48" s="74" t="inlineStr">
        <is>
          <t>Enterprise Budget</t>
        </is>
      </c>
      <c r="C48" s="74" t="inlineStr">
        <is>
          <t>Income, variable costs and gross margin per hectare or per unit</t>
        </is>
      </c>
      <c r="D48" s="74" t="inlineStr">
        <is>
          <t>M8</t>
        </is>
      </c>
      <c r="E48" s="75" t="inlineStr">
        <is>
          <t>Enterprise Budget</t>
        </is>
      </c>
    </row>
    <row r="49" ht="15" customHeight="1" s="54">
      <c r="A49" s="74" t="inlineStr">
        <is>
          <t>T-M8-02</t>
        </is>
      </c>
      <c r="B49" s="74" t="inlineStr">
        <is>
          <t>Planting Schedule</t>
        </is>
      </c>
      <c r="C49" s="74" t="inlineStr">
        <is>
          <t>Commodity-specific tool for Fresh Vegetables</t>
        </is>
      </c>
      <c r="D49" s="74" t="inlineStr">
        <is>
          <t>M8</t>
        </is>
      </c>
      <c r="E49" s="75" t="inlineStr">
        <is>
          <t>Planting Schedule</t>
        </is>
      </c>
    </row>
    <row r="50" ht="15" customHeight="1" s="54">
      <c r="A50" s="74" t="inlineStr">
        <is>
          <t>T-M8-03</t>
        </is>
      </c>
      <c r="B50" s="74" t="inlineStr">
        <is>
          <t>Seed and Input Plan</t>
        </is>
      </c>
      <c r="C50" s="74" t="inlineStr">
        <is>
          <t>Commodity-specific tool for Fresh Vegetables</t>
        </is>
      </c>
      <c r="D50" s="74" t="inlineStr">
        <is>
          <t>M8</t>
        </is>
      </c>
      <c r="E50" s="75" t="inlineStr">
        <is>
          <t>Seed and Input Plan</t>
        </is>
      </c>
    </row>
    <row r="51" ht="15" customHeight="1" s="54">
      <c r="A51" s="74" t="inlineStr">
        <is>
          <t>T-M8-04</t>
        </is>
      </c>
      <c r="B51" s="74" t="inlineStr">
        <is>
          <t>Fresh Market versus Processor</t>
        </is>
      </c>
      <c r="C51" s="74" t="inlineStr">
        <is>
          <t>Commodity-specific tool for Fresh Vegetables</t>
        </is>
      </c>
      <c r="D51" s="74" t="inlineStr">
        <is>
          <t>M8</t>
        </is>
      </c>
      <c r="E51" s="75" t="inlineStr">
        <is>
          <t>Fresh vs Processor</t>
        </is>
      </c>
    </row>
    <row r="52" ht="15" customHeight="1" s="54">
      <c r="A52" s="74" t="inlineStr">
        <is>
          <t>T-M8-05</t>
        </is>
      </c>
      <c r="B52" s="74" t="inlineStr">
        <is>
          <t>Market Price Comparator</t>
        </is>
      </c>
      <c r="C52" s="74" t="inlineStr">
        <is>
          <t>The student's price against the benchmark and the four markets</t>
        </is>
      </c>
      <c r="D52" s="74" t="inlineStr">
        <is>
          <t>M8</t>
        </is>
      </c>
      <c r="E52" s="75" t="inlineStr">
        <is>
          <t>Market Price Comparator</t>
        </is>
      </c>
    </row>
    <row r="53" ht="15" customHeight="1" s="54">
      <c r="A53" s="74" t="inlineStr">
        <is>
          <t>T-M9-01</t>
        </is>
      </c>
      <c r="B53" s="74" t="inlineStr">
        <is>
          <t>Enterprise Budget</t>
        </is>
      </c>
      <c r="C53" s="74" t="inlineStr">
        <is>
          <t>Income, variable costs and gross margin per hectare or per unit</t>
        </is>
      </c>
      <c r="D53" s="74" t="inlineStr">
        <is>
          <t>M9</t>
        </is>
      </c>
      <c r="E53" s="75" t="inlineStr">
        <is>
          <t>Enterprise Budget</t>
        </is>
      </c>
    </row>
    <row r="54" ht="15" customHeight="1" s="54">
      <c r="A54" s="74" t="inlineStr">
        <is>
          <t>T-M9-02</t>
        </is>
      </c>
      <c r="B54" s="74" t="inlineStr">
        <is>
          <t>Stocking Rate</t>
        </is>
      </c>
      <c r="C54" s="74" t="inlineStr">
        <is>
          <t>Commodity-specific tool for Beef</t>
        </is>
      </c>
      <c r="D54" s="74" t="inlineStr">
        <is>
          <t>M9</t>
        </is>
      </c>
      <c r="E54" s="75" t="inlineStr">
        <is>
          <t>Stocking Rate</t>
        </is>
      </c>
    </row>
    <row r="55" ht="15" customHeight="1" s="54">
      <c r="A55" s="74" t="inlineStr">
        <is>
          <t>T-M9-03</t>
        </is>
      </c>
      <c r="B55" s="74" t="inlineStr">
        <is>
          <t>Herd Growth Projection</t>
        </is>
      </c>
      <c r="C55" s="74" t="inlineStr">
        <is>
          <t>Commodity-specific tool for Beef</t>
        </is>
      </c>
      <c r="D55" s="74" t="inlineStr">
        <is>
          <t>M9</t>
        </is>
      </c>
      <c r="E55" s="75" t="inlineStr">
        <is>
          <t>Herd Growth</t>
        </is>
      </c>
    </row>
    <row r="56" ht="15" customHeight="1" s="54">
      <c r="A56" s="74" t="inlineStr">
        <is>
          <t>T-M9-04</t>
        </is>
      </c>
      <c r="B56" s="74" t="inlineStr">
        <is>
          <t>Feedlot versus Veld</t>
        </is>
      </c>
      <c r="C56" s="74" t="inlineStr">
        <is>
          <t>Commodity-specific tool for Beef</t>
        </is>
      </c>
      <c r="D56" s="74" t="inlineStr">
        <is>
          <t>M9</t>
        </is>
      </c>
      <c r="E56" s="75" t="inlineStr">
        <is>
          <t>Feedlot vs Veld</t>
        </is>
      </c>
    </row>
    <row r="57" ht="15" customHeight="1" s="54">
      <c r="A57" s="74" t="inlineStr">
        <is>
          <t>T-M9-05</t>
        </is>
      </c>
      <c r="B57" s="74" t="inlineStr">
        <is>
          <t>Market Price Comparator</t>
        </is>
      </c>
      <c r="C57" s="74" t="inlineStr">
        <is>
          <t>The student's price against the benchmark and the four markets</t>
        </is>
      </c>
      <c r="D57" s="74" t="inlineStr">
        <is>
          <t>M9</t>
        </is>
      </c>
      <c r="E57" s="75" t="inlineStr">
        <is>
          <t>Market Price Comparator</t>
        </is>
      </c>
    </row>
    <row r="58" ht="15" customHeight="1" s="54">
      <c r="A58" s="74" t="inlineStr">
        <is>
          <t>T-M10-01</t>
        </is>
      </c>
      <c r="B58" s="74" t="inlineStr">
        <is>
          <t>Enterprise Budget</t>
        </is>
      </c>
      <c r="C58" s="74" t="inlineStr">
        <is>
          <t>Income, variable costs and gross margin per hectare or per unit</t>
        </is>
      </c>
      <c r="D58" s="74" t="inlineStr">
        <is>
          <t>M10</t>
        </is>
      </c>
      <c r="E58" s="75" t="inlineStr">
        <is>
          <t>Enterprise Budget</t>
        </is>
      </c>
    </row>
    <row r="59" ht="15" customHeight="1" s="54">
      <c r="A59" s="74" t="inlineStr">
        <is>
          <t>T-M10-02</t>
        </is>
      </c>
      <c r="B59" s="74" t="inlineStr">
        <is>
          <t>Stocking Rate</t>
        </is>
      </c>
      <c r="C59" s="74" t="inlineStr">
        <is>
          <t>Commodity-specific tool for Sheep and Goats</t>
        </is>
      </c>
      <c r="D59" s="74" t="inlineStr">
        <is>
          <t>M10</t>
        </is>
      </c>
      <c r="E59" s="75" t="inlineStr">
        <is>
          <t>Stocking Rate</t>
        </is>
      </c>
    </row>
    <row r="60" ht="15" customHeight="1" s="54">
      <c r="A60" s="74" t="inlineStr">
        <is>
          <t>T-M10-03</t>
        </is>
      </c>
      <c r="B60" s="74" t="inlineStr">
        <is>
          <t>Herd Growth Projection</t>
        </is>
      </c>
      <c r="C60" s="74" t="inlineStr">
        <is>
          <t>Commodity-specific tool for Sheep and Goats</t>
        </is>
      </c>
      <c r="D60" s="74" t="inlineStr">
        <is>
          <t>M10</t>
        </is>
      </c>
      <c r="E60" s="75" t="inlineStr">
        <is>
          <t>Herd Growth</t>
        </is>
      </c>
    </row>
    <row r="61" ht="15" customHeight="1" s="54">
      <c r="A61" s="74" t="inlineStr">
        <is>
          <t>T-M10-04</t>
        </is>
      </c>
      <c r="B61" s="74" t="inlineStr">
        <is>
          <t>Feedlot versus Veld</t>
        </is>
      </c>
      <c r="C61" s="74" t="inlineStr">
        <is>
          <t>Commodity-specific tool for Sheep and Goats</t>
        </is>
      </c>
      <c r="D61" s="74" t="inlineStr">
        <is>
          <t>M10</t>
        </is>
      </c>
      <c r="E61" s="75" t="inlineStr">
        <is>
          <t>Feedlot vs Veld</t>
        </is>
      </c>
    </row>
    <row r="62" ht="15" customHeight="1" s="54">
      <c r="A62" s="74" t="inlineStr">
        <is>
          <t>T-M10-05</t>
        </is>
      </c>
      <c r="B62" s="74" t="inlineStr">
        <is>
          <t>Market Price Comparator</t>
        </is>
      </c>
      <c r="C62" s="74" t="inlineStr">
        <is>
          <t>The student's price against the benchmark and the four markets</t>
        </is>
      </c>
      <c r="D62" s="74" t="inlineStr">
        <is>
          <t>M10</t>
        </is>
      </c>
      <c r="E62" s="75" t="inlineStr">
        <is>
          <t>Market Price Comparator</t>
        </is>
      </c>
    </row>
    <row r="63" ht="15" customHeight="1" s="54">
      <c r="A63" s="74" t="inlineStr">
        <is>
          <t>T-M11-01</t>
        </is>
      </c>
      <c r="B63" s="74" t="inlineStr">
        <is>
          <t>Enterprise Budget</t>
        </is>
      </c>
      <c r="C63" s="74" t="inlineStr">
        <is>
          <t>Income, variable costs and gross margin per hectare or per unit</t>
        </is>
      </c>
      <c r="D63" s="74" t="inlineStr">
        <is>
          <t>M11</t>
        </is>
      </c>
      <c r="E63" s="75" t="inlineStr">
        <is>
          <t>Enterprise Budget</t>
        </is>
      </c>
    </row>
    <row r="64" ht="15" customHeight="1" s="54">
      <c r="A64" s="74" t="inlineStr">
        <is>
          <t>T-M11-02</t>
        </is>
      </c>
      <c r="B64" s="74" t="inlineStr">
        <is>
          <t>Sow Productivity</t>
        </is>
      </c>
      <c r="C64" s="74" t="inlineStr">
        <is>
          <t>Commodity-specific tool for Pork</t>
        </is>
      </c>
      <c r="D64" s="74" t="inlineStr">
        <is>
          <t>M11</t>
        </is>
      </c>
      <c r="E64" s="75" t="inlineStr">
        <is>
          <t>Sow Productivity</t>
        </is>
      </c>
    </row>
    <row r="65" ht="15" customHeight="1" s="54">
      <c r="A65" s="74" t="inlineStr">
        <is>
          <t>T-M11-03</t>
        </is>
      </c>
      <c r="B65" s="74" t="inlineStr">
        <is>
          <t>Feed Budget</t>
        </is>
      </c>
      <c r="C65" s="74" t="inlineStr">
        <is>
          <t>Commodity-specific tool for Pork</t>
        </is>
      </c>
      <c r="D65" s="74" t="inlineStr">
        <is>
          <t>M11</t>
        </is>
      </c>
      <c r="E65" s="75" t="inlineStr">
        <is>
          <t>Feed Budget</t>
        </is>
      </c>
    </row>
    <row r="66" ht="15" customHeight="1" s="54">
      <c r="A66" s="74" t="inlineStr">
        <is>
          <t>T-M11-04</t>
        </is>
      </c>
      <c r="B66" s="74" t="inlineStr">
        <is>
          <t>Batch Margin</t>
        </is>
      </c>
      <c r="C66" s="74" t="inlineStr">
        <is>
          <t>Commodity-specific tool for Pork</t>
        </is>
      </c>
      <c r="D66" s="74" t="inlineStr">
        <is>
          <t>M11</t>
        </is>
      </c>
      <c r="E66" s="75" t="inlineStr">
        <is>
          <t>Batch Margin</t>
        </is>
      </c>
    </row>
    <row r="67" ht="15" customHeight="1" s="54">
      <c r="A67" s="74" t="inlineStr">
        <is>
          <t>T-M11-05</t>
        </is>
      </c>
      <c r="B67" s="74" t="inlineStr">
        <is>
          <t>Market Price Comparator</t>
        </is>
      </c>
      <c r="C67" s="74" t="inlineStr">
        <is>
          <t>The student's price against the benchmark and the four markets</t>
        </is>
      </c>
      <c r="D67" s="74" t="inlineStr">
        <is>
          <t>M11</t>
        </is>
      </c>
      <c r="E67" s="75" t="inlineStr">
        <is>
          <t>Market Price Comparator</t>
        </is>
      </c>
    </row>
    <row r="68" ht="15" customHeight="1" s="54">
      <c r="A68" s="74" t="inlineStr">
        <is>
          <t>T-M12-01</t>
        </is>
      </c>
      <c r="B68" s="74" t="inlineStr">
        <is>
          <t>Enterprise Budget</t>
        </is>
      </c>
      <c r="C68" s="74" t="inlineStr">
        <is>
          <t>Income, variable costs and gross margin per hectare or per unit</t>
        </is>
      </c>
      <c r="D68" s="74" t="inlineStr">
        <is>
          <t>M12</t>
        </is>
      </c>
      <c r="E68" s="75" t="inlineStr">
        <is>
          <t>Enterprise Budget</t>
        </is>
      </c>
    </row>
    <row r="69" ht="15" customHeight="1" s="54">
      <c r="A69" s="74" t="inlineStr">
        <is>
          <t>T-M12-02</t>
        </is>
      </c>
      <c r="B69" s="74" t="inlineStr">
        <is>
          <t>Broiler Batch Calculator</t>
        </is>
      </c>
      <c r="C69" s="74" t="inlineStr">
        <is>
          <t>Commodity-specific tool for Poultry and Ostrich</t>
        </is>
      </c>
      <c r="D69" s="74" t="inlineStr">
        <is>
          <t>M12</t>
        </is>
      </c>
      <c r="E69" s="75" t="inlineStr">
        <is>
          <t>Broiler Batch</t>
        </is>
      </c>
    </row>
    <row r="70" ht="15" customHeight="1" s="54">
      <c r="A70" s="74" t="inlineStr">
        <is>
          <t>T-M12-03</t>
        </is>
      </c>
      <c r="B70" s="74" t="inlineStr">
        <is>
          <t>Layer Flock Calculator</t>
        </is>
      </c>
      <c r="C70" s="74" t="inlineStr">
        <is>
          <t>Commodity-specific tool for Poultry and Ostrich</t>
        </is>
      </c>
      <c r="D70" s="74" t="inlineStr">
        <is>
          <t>M12</t>
        </is>
      </c>
      <c r="E70" s="75" t="inlineStr">
        <is>
          <t>Layer Flock</t>
        </is>
      </c>
    </row>
    <row r="71" ht="15" customHeight="1" s="54">
      <c r="A71" s="74" t="inlineStr">
        <is>
          <t>T-M12-04</t>
        </is>
      </c>
      <c r="B71" s="74" t="inlineStr">
        <is>
          <t>Feed Conversion Calculator</t>
        </is>
      </c>
      <c r="C71" s="74" t="inlineStr">
        <is>
          <t>Commodity-specific tool for Poultry and Ostrich</t>
        </is>
      </c>
      <c r="D71" s="74" t="inlineStr">
        <is>
          <t>M12</t>
        </is>
      </c>
      <c r="E71" s="75" t="inlineStr">
        <is>
          <t>Feed Conversion</t>
        </is>
      </c>
    </row>
    <row r="72" ht="15" customHeight="1" s="54">
      <c r="A72" s="74" t="inlineStr">
        <is>
          <t>T-M12-05</t>
        </is>
      </c>
      <c r="B72" s="74" t="inlineStr">
        <is>
          <t>Market Price Comparator</t>
        </is>
      </c>
      <c r="C72" s="74" t="inlineStr">
        <is>
          <t>The student's price against the benchmark and the four markets</t>
        </is>
      </c>
      <c r="D72" s="74" t="inlineStr">
        <is>
          <t>M12</t>
        </is>
      </c>
      <c r="E72" s="75" t="inlineStr">
        <is>
          <t>Market Price Comparator</t>
        </is>
      </c>
    </row>
    <row r="73" ht="15" customHeight="1" s="54">
      <c r="A73" s="74" t="inlineStr">
        <is>
          <t>T-M13-01</t>
        </is>
      </c>
      <c r="B73" s="74" t="inlineStr">
        <is>
          <t>Enterprise Budget</t>
        </is>
      </c>
      <c r="C73" s="74" t="inlineStr">
        <is>
          <t>Income, variable costs and gross margin per hectare or per unit</t>
        </is>
      </c>
      <c r="D73" s="74" t="inlineStr">
        <is>
          <t>M13</t>
        </is>
      </c>
      <c r="E73" s="75" t="inlineStr">
        <is>
          <t>Enterprise Budget</t>
        </is>
      </c>
    </row>
    <row r="74" ht="15" customHeight="1" s="54">
      <c r="A74" s="74" t="inlineStr">
        <is>
          <t>T-M13-02</t>
        </is>
      </c>
      <c r="B74" s="74" t="inlineStr">
        <is>
          <t>Pond Stocking and Harvest</t>
        </is>
      </c>
      <c r="C74" s="74" t="inlineStr">
        <is>
          <t>Commodity-specific tool for Aquaculture</t>
        </is>
      </c>
      <c r="D74" s="74" t="inlineStr">
        <is>
          <t>M13</t>
        </is>
      </c>
      <c r="E74" s="75" t="inlineStr">
        <is>
          <t>Pond Stocking</t>
        </is>
      </c>
    </row>
    <row r="75" ht="15" customHeight="1" s="54">
      <c r="A75" s="74" t="inlineStr">
        <is>
          <t>T-M13-03</t>
        </is>
      </c>
      <c r="B75" s="74" t="inlineStr">
        <is>
          <t>Feed Budget</t>
        </is>
      </c>
      <c r="C75" s="74" t="inlineStr">
        <is>
          <t>Commodity-specific tool for Aquaculture</t>
        </is>
      </c>
      <c r="D75" s="74" t="inlineStr">
        <is>
          <t>M13</t>
        </is>
      </c>
      <c r="E75" s="75" t="inlineStr">
        <is>
          <t>Feed Budget</t>
        </is>
      </c>
    </row>
    <row r="76" ht="15" customHeight="1" s="54">
      <c r="A76" s="74" t="inlineStr">
        <is>
          <t>T-M13-04</t>
        </is>
      </c>
      <c r="B76" s="74" t="inlineStr">
        <is>
          <t>Market Price Comparator</t>
        </is>
      </c>
      <c r="C76" s="74" t="inlineStr">
        <is>
          <t>The student's price against the benchmark and the four markets</t>
        </is>
      </c>
      <c r="D76" s="74" t="inlineStr">
        <is>
          <t>M13</t>
        </is>
      </c>
      <c r="E76" s="75" t="inlineStr">
        <is>
          <t>Market Price Comparator</t>
        </is>
      </c>
    </row>
    <row r="77" ht="15" customHeight="1" s="54">
      <c r="A77" s="74" t="inlineStr">
        <is>
          <t>T-M14-01</t>
        </is>
      </c>
      <c r="B77" s="74" t="inlineStr">
        <is>
          <t>Enterprise Budget</t>
        </is>
      </c>
      <c r="C77" s="74" t="inlineStr">
        <is>
          <t>Income, variable costs and gross margin per hectare or per unit</t>
        </is>
      </c>
      <c r="D77" s="74" t="inlineStr">
        <is>
          <t>M14</t>
        </is>
      </c>
      <c r="E77" s="75" t="inlineStr">
        <is>
          <t>Enterprise Budget</t>
        </is>
      </c>
    </row>
    <row r="78" ht="15" customHeight="1" s="54">
      <c r="A78" s="74" t="inlineStr">
        <is>
          <t>T-M14-02</t>
        </is>
      </c>
      <c r="B78" s="74" t="inlineStr">
        <is>
          <t>Clip and Fleece Income</t>
        </is>
      </c>
      <c r="C78" s="74" t="inlineStr">
        <is>
          <t>Commodity-specific tool for Wool and Mohair</t>
        </is>
      </c>
      <c r="D78" s="74" t="inlineStr">
        <is>
          <t>M14</t>
        </is>
      </c>
      <c r="E78" s="75" t="inlineStr">
        <is>
          <t>Clip and Fleece</t>
        </is>
      </c>
    </row>
    <row r="79" ht="15" customHeight="1" s="54">
      <c r="A79" s="74" t="inlineStr">
        <is>
          <t>T-M14-03</t>
        </is>
      </c>
      <c r="B79" s="74" t="inlineStr">
        <is>
          <t>Processing Margin</t>
        </is>
      </c>
      <c r="C79" s="74" t="inlineStr">
        <is>
          <t>Commodity-specific tool for Wool and Mohair</t>
        </is>
      </c>
      <c r="D79" s="74" t="inlineStr">
        <is>
          <t>M14</t>
        </is>
      </c>
      <c r="E79" s="75" t="inlineStr">
        <is>
          <t>Processing Margin</t>
        </is>
      </c>
    </row>
    <row r="80" ht="15" customHeight="1" s="54">
      <c r="A80" s="74" t="inlineStr">
        <is>
          <t>T-M14-04</t>
        </is>
      </c>
      <c r="B80" s="74" t="inlineStr">
        <is>
          <t>Market Price Comparator</t>
        </is>
      </c>
      <c r="C80" s="74" t="inlineStr">
        <is>
          <t>The student's price against the benchmark and the four markets</t>
        </is>
      </c>
      <c r="D80" s="74" t="inlineStr">
        <is>
          <t>M14</t>
        </is>
      </c>
      <c r="E80" s="75" t="inlineStr">
        <is>
          <t>Market Price Comparator</t>
        </is>
      </c>
    </row>
    <row r="81" ht="15" customHeight="1" s="54">
      <c r="A81" s="74" t="inlineStr">
        <is>
          <t>T-M15-01</t>
        </is>
      </c>
      <c r="B81" s="74" t="inlineStr">
        <is>
          <t>Enterprise Budget</t>
        </is>
      </c>
      <c r="C81" s="74" t="inlineStr">
        <is>
          <t>Income, variable costs and gross margin per hectare or per unit</t>
        </is>
      </c>
      <c r="D81" s="74" t="inlineStr">
        <is>
          <t>M15</t>
        </is>
      </c>
      <c r="E81" s="75" t="inlineStr">
        <is>
          <t>Enterprise Budget</t>
        </is>
      </c>
    </row>
    <row r="82" ht="15" customHeight="1" s="54">
      <c r="A82" s="74" t="inlineStr">
        <is>
          <t>T-M15-02</t>
        </is>
      </c>
      <c r="B82" s="74" t="inlineStr">
        <is>
          <t>Processing Margin</t>
        </is>
      </c>
      <c r="C82" s="74" t="inlineStr">
        <is>
          <t>Commodity-specific tool for Cotton and Hemp</t>
        </is>
      </c>
      <c r="D82" s="74" t="inlineStr">
        <is>
          <t>M15</t>
        </is>
      </c>
      <c r="E82" s="75" t="inlineStr">
        <is>
          <t>Processing Margin</t>
        </is>
      </c>
    </row>
    <row r="83" ht="15" customHeight="1" s="54">
      <c r="A83" s="74" t="inlineStr">
        <is>
          <t>T-M15-03</t>
        </is>
      </c>
      <c r="B83" s="74" t="inlineStr">
        <is>
          <t>Market Price Comparator</t>
        </is>
      </c>
      <c r="C83" s="74" t="inlineStr">
        <is>
          <t>The student's price against the benchmark and the four markets</t>
        </is>
      </c>
      <c r="D83" s="74" t="inlineStr">
        <is>
          <t>M15</t>
        </is>
      </c>
      <c r="E83" s="75" t="inlineStr">
        <is>
          <t>Market Price Comparator</t>
        </is>
      </c>
    </row>
    <row r="84" ht="15" customHeight="1" s="54">
      <c r="A84" s="74" t="inlineStr">
        <is>
          <t>T-M16-01</t>
        </is>
      </c>
      <c r="B84" s="74" t="inlineStr">
        <is>
          <t>Enterprise Budget</t>
        </is>
      </c>
      <c r="C84" s="74" t="inlineStr">
        <is>
          <t>Income, variable costs and gross margin per hectare or per unit</t>
        </is>
      </c>
      <c r="D84" s="74" t="inlineStr">
        <is>
          <t>M16</t>
        </is>
      </c>
      <c r="E84" s="75" t="inlineStr">
        <is>
          <t>Enterprise Budget</t>
        </is>
      </c>
    </row>
    <row r="85" ht="15" customHeight="1" s="54">
      <c r="A85" s="74" t="inlineStr">
        <is>
          <t>T-M16-02</t>
        </is>
      </c>
      <c r="B85" s="74" t="inlineStr">
        <is>
          <t>Processing Margin</t>
        </is>
      </c>
      <c r="C85" s="74" t="inlineStr">
        <is>
          <t>Commodity-specific tool for Hides, Skins and Leather</t>
        </is>
      </c>
      <c r="D85" s="74" t="inlineStr">
        <is>
          <t>M16</t>
        </is>
      </c>
      <c r="E85" s="75" t="inlineStr">
        <is>
          <t>Processing Margin</t>
        </is>
      </c>
    </row>
    <row r="86" ht="15" customHeight="1" s="54">
      <c r="A86" s="74" t="inlineStr">
        <is>
          <t>T-M16-03</t>
        </is>
      </c>
      <c r="B86" s="74" t="inlineStr">
        <is>
          <t>Market Price Comparator</t>
        </is>
      </c>
      <c r="C86" s="74" t="inlineStr">
        <is>
          <t>The student's price against the benchmark and the four markets</t>
        </is>
      </c>
      <c r="D86" s="74" t="inlineStr">
        <is>
          <t>M16</t>
        </is>
      </c>
      <c r="E86" s="75" t="inlineStr">
        <is>
          <t>Market Price Comparator</t>
        </is>
      </c>
    </row>
    <row r="87" ht="15" customHeight="1" s="54">
      <c r="A87" s="74" t="inlineStr">
        <is>
          <t>T-M17-01</t>
        </is>
      </c>
      <c r="B87" s="74" t="inlineStr">
        <is>
          <t>Enterprise Budget</t>
        </is>
      </c>
      <c r="C87" s="74" t="inlineStr">
        <is>
          <t>Income, variable costs and gross margin per hectare or per unit</t>
        </is>
      </c>
      <c r="D87" s="74" t="inlineStr">
        <is>
          <t>M17</t>
        </is>
      </c>
      <c r="E87" s="75" t="inlineStr">
        <is>
          <t>Enterprise Budget</t>
        </is>
      </c>
    </row>
    <row r="88" ht="15" customHeight="1" s="54">
      <c r="A88" s="74" t="inlineStr">
        <is>
          <t>T-M17-02</t>
        </is>
      </c>
      <c r="B88" s="74" t="inlineStr">
        <is>
          <t>Establishment Cost</t>
        </is>
      </c>
      <c r="C88" s="74" t="inlineStr">
        <is>
          <t>Commodity-specific tool for Sugar</t>
        </is>
      </c>
      <c r="D88" s="74" t="inlineStr">
        <is>
          <t>M17</t>
        </is>
      </c>
      <c r="E88" s="75" t="inlineStr">
        <is>
          <t>Establishment Cost</t>
        </is>
      </c>
    </row>
    <row r="89" ht="15" customHeight="1" s="54">
      <c r="A89" s="74" t="inlineStr">
        <is>
          <t>T-M17-03</t>
        </is>
      </c>
      <c r="B89" s="74" t="inlineStr">
        <is>
          <t>Contract Grower Income</t>
        </is>
      </c>
      <c r="C89" s="74" t="inlineStr">
        <is>
          <t>Commodity-specific tool for Sugar</t>
        </is>
      </c>
      <c r="D89" s="74" t="inlineStr">
        <is>
          <t>M17</t>
        </is>
      </c>
      <c r="E89" s="75" t="inlineStr">
        <is>
          <t>Contract Grower</t>
        </is>
      </c>
    </row>
    <row r="90" ht="15" customHeight="1" s="54">
      <c r="A90" s="74" t="inlineStr">
        <is>
          <t>T-M17-04</t>
        </is>
      </c>
      <c r="B90" s="74" t="inlineStr">
        <is>
          <t>Processing Margin</t>
        </is>
      </c>
      <c r="C90" s="74" t="inlineStr">
        <is>
          <t>Commodity-specific tool for Sugar</t>
        </is>
      </c>
      <c r="D90" s="74" t="inlineStr">
        <is>
          <t>M17</t>
        </is>
      </c>
      <c r="E90" s="75" t="inlineStr">
        <is>
          <t>Processing Margin</t>
        </is>
      </c>
    </row>
    <row r="91" ht="15" customHeight="1" s="54">
      <c r="A91" s="74" t="inlineStr">
        <is>
          <t>T-M17-05</t>
        </is>
      </c>
      <c r="B91" s="74" t="inlineStr">
        <is>
          <t>Market Price Comparator</t>
        </is>
      </c>
      <c r="C91" s="74" t="inlineStr">
        <is>
          <t>The student's price against the benchmark and the four markets</t>
        </is>
      </c>
      <c r="D91" s="74" t="inlineStr">
        <is>
          <t>M17</t>
        </is>
      </c>
      <c r="E91" s="75" t="inlineStr">
        <is>
          <t>Market Price Comparator</t>
        </is>
      </c>
    </row>
    <row r="92" ht="15" customHeight="1" s="54">
      <c r="A92" s="74" t="inlineStr">
        <is>
          <t>T-M18-01</t>
        </is>
      </c>
      <c r="B92" s="74" t="inlineStr">
        <is>
          <t>Enterprise Budget</t>
        </is>
      </c>
      <c r="C92" s="74" t="inlineStr">
        <is>
          <t>Income, variable costs and gross margin per hectare or per unit</t>
        </is>
      </c>
      <c r="D92" s="74" t="inlineStr">
        <is>
          <t>M18</t>
        </is>
      </c>
      <c r="E92" s="75" t="inlineStr">
        <is>
          <t>Enterprise Budget</t>
        </is>
      </c>
    </row>
    <row r="93" ht="15" customHeight="1" s="54">
      <c r="A93" s="74" t="inlineStr">
        <is>
          <t>T-M18-02</t>
        </is>
      </c>
      <c r="B93" s="74" t="inlineStr">
        <is>
          <t>Establishment Cost</t>
        </is>
      </c>
      <c r="C93" s="74" t="inlineStr">
        <is>
          <t>Commodity-specific tool for Tea and Coffee</t>
        </is>
      </c>
      <c r="D93" s="74" t="inlineStr">
        <is>
          <t>M18</t>
        </is>
      </c>
      <c r="E93" s="75" t="inlineStr">
        <is>
          <t>Establishment Cost</t>
        </is>
      </c>
    </row>
    <row r="94" ht="15" customHeight="1" s="54">
      <c r="A94" s="74" t="inlineStr">
        <is>
          <t>T-M18-03</t>
        </is>
      </c>
      <c r="B94" s="74" t="inlineStr">
        <is>
          <t>Contract Grower Income</t>
        </is>
      </c>
      <c r="C94" s="74" t="inlineStr">
        <is>
          <t>Commodity-specific tool for Tea and Coffee</t>
        </is>
      </c>
      <c r="D94" s="74" t="inlineStr">
        <is>
          <t>M18</t>
        </is>
      </c>
      <c r="E94" s="75" t="inlineStr">
        <is>
          <t>Contract Grower</t>
        </is>
      </c>
    </row>
    <row r="95" ht="15" customHeight="1" s="54">
      <c r="A95" s="74" t="inlineStr">
        <is>
          <t>T-M18-04</t>
        </is>
      </c>
      <c r="B95" s="74" t="inlineStr">
        <is>
          <t>Processing Margin</t>
        </is>
      </c>
      <c r="C95" s="74" t="inlineStr">
        <is>
          <t>Commodity-specific tool for Tea and Coffee</t>
        </is>
      </c>
      <c r="D95" s="74" t="inlineStr">
        <is>
          <t>M18</t>
        </is>
      </c>
      <c r="E95" s="75" t="inlineStr">
        <is>
          <t>Processing Margin</t>
        </is>
      </c>
    </row>
    <row r="96" ht="15" customHeight="1" s="54">
      <c r="A96" s="74" t="inlineStr">
        <is>
          <t>T-M18-05</t>
        </is>
      </c>
      <c r="B96" s="74" t="inlineStr">
        <is>
          <t>Market Price Comparator</t>
        </is>
      </c>
      <c r="C96" s="74" t="inlineStr">
        <is>
          <t>The student's price against the benchmark and the four markets</t>
        </is>
      </c>
      <c r="D96" s="74" t="inlineStr">
        <is>
          <t>M18</t>
        </is>
      </c>
      <c r="E96" s="75" t="inlineStr">
        <is>
          <t>Market Price Comparator</t>
        </is>
      </c>
    </row>
    <row r="97" ht="15" customHeight="1" s="54">
      <c r="A97" s="74" t="inlineStr">
        <is>
          <t>T-M19-01</t>
        </is>
      </c>
      <c r="B97" s="74" t="inlineStr">
        <is>
          <t>Enterprise Budget</t>
        </is>
      </c>
      <c r="C97" s="74" t="inlineStr">
        <is>
          <t>Income, variable costs and gross margin per hectare or per unit</t>
        </is>
      </c>
      <c r="D97" s="74" t="inlineStr">
        <is>
          <t>M19</t>
        </is>
      </c>
      <c r="E97" s="75" t="inlineStr">
        <is>
          <t>Enterprise Budget</t>
        </is>
      </c>
    </row>
    <row r="98" ht="15" customHeight="1" s="54">
      <c r="A98" s="74" t="inlineStr">
        <is>
          <t>T-M19-02</t>
        </is>
      </c>
      <c r="B98" s="74" t="inlineStr">
        <is>
          <t>Establishment Cost</t>
        </is>
      </c>
      <c r="C98" s="74" t="inlineStr">
        <is>
          <t>Commodity-specific tool for Tobacco</t>
        </is>
      </c>
      <c r="D98" s="74" t="inlineStr">
        <is>
          <t>M19</t>
        </is>
      </c>
      <c r="E98" s="75" t="inlineStr">
        <is>
          <t>Establishment Cost</t>
        </is>
      </c>
    </row>
    <row r="99" ht="15" customHeight="1" s="54">
      <c r="A99" s="74" t="inlineStr">
        <is>
          <t>T-M19-03</t>
        </is>
      </c>
      <c r="B99" s="74" t="inlineStr">
        <is>
          <t>Contract Grower Income</t>
        </is>
      </c>
      <c r="C99" s="74" t="inlineStr">
        <is>
          <t>Commodity-specific tool for Tobacco</t>
        </is>
      </c>
      <c r="D99" s="74" t="inlineStr">
        <is>
          <t>M19</t>
        </is>
      </c>
      <c r="E99" s="75" t="inlineStr">
        <is>
          <t>Contract Grower</t>
        </is>
      </c>
    </row>
    <row r="100" ht="15" customHeight="1" s="54">
      <c r="A100" s="74" t="inlineStr">
        <is>
          <t>T-M19-04</t>
        </is>
      </c>
      <c r="B100" s="74" t="inlineStr">
        <is>
          <t>Processing Margin</t>
        </is>
      </c>
      <c r="C100" s="74" t="inlineStr">
        <is>
          <t>Commodity-specific tool for Tobacco</t>
        </is>
      </c>
      <c r="D100" s="74" t="inlineStr">
        <is>
          <t>M19</t>
        </is>
      </c>
      <c r="E100" s="75" t="inlineStr">
        <is>
          <t>Processing Margin</t>
        </is>
      </c>
    </row>
    <row r="101" ht="15" customHeight="1" s="54">
      <c r="A101" s="74" t="inlineStr">
        <is>
          <t>T-M19-05</t>
        </is>
      </c>
      <c r="B101" s="74" t="inlineStr">
        <is>
          <t>Market Price Comparator</t>
        </is>
      </c>
      <c r="C101" s="74" t="inlineStr">
        <is>
          <t>The student's price against the benchmark and the four markets</t>
        </is>
      </c>
      <c r="D101" s="74" t="inlineStr">
        <is>
          <t>M19</t>
        </is>
      </c>
      <c r="E101" s="75" t="inlineStr">
        <is>
          <t>Market Price Comparator</t>
        </is>
      </c>
    </row>
    <row r="102" ht="15" customHeight="1" s="54">
      <c r="A102" s="74" t="inlineStr">
        <is>
          <t>T-M20-01</t>
        </is>
      </c>
      <c r="B102" s="74" t="inlineStr">
        <is>
          <t>Enterprise Budget</t>
        </is>
      </c>
      <c r="C102" s="74" t="inlineStr">
        <is>
          <t>Income, variable costs and gross margin per hectare or per unit</t>
        </is>
      </c>
      <c r="D102" s="74" t="inlineStr">
        <is>
          <t>M20</t>
        </is>
      </c>
      <c r="E102" s="75" t="inlineStr">
        <is>
          <t>Enterprise Budget</t>
        </is>
      </c>
    </row>
    <row r="103" ht="15" customHeight="1" s="54">
      <c r="A103" s="74" t="inlineStr">
        <is>
          <t>T-M20-02</t>
        </is>
      </c>
      <c r="B103" s="74" t="inlineStr">
        <is>
          <t>Establishment Cost</t>
        </is>
      </c>
      <c r="C103" s="74" t="inlineStr">
        <is>
          <t>Commodity-specific tool for Wine</t>
        </is>
      </c>
      <c r="D103" s="74" t="inlineStr">
        <is>
          <t>M20</t>
        </is>
      </c>
      <c r="E103" s="75" t="inlineStr">
        <is>
          <t>Establishment Cost</t>
        </is>
      </c>
    </row>
    <row r="104" ht="15" customHeight="1" s="54">
      <c r="A104" s="74" t="inlineStr">
        <is>
          <t>T-M20-03</t>
        </is>
      </c>
      <c r="B104" s="74" t="inlineStr">
        <is>
          <t>Contract Grower Income</t>
        </is>
      </c>
      <c r="C104" s="74" t="inlineStr">
        <is>
          <t>Commodity-specific tool for Wine</t>
        </is>
      </c>
      <c r="D104" s="74" t="inlineStr">
        <is>
          <t>M20</t>
        </is>
      </c>
      <c r="E104" s="75" t="inlineStr">
        <is>
          <t>Contract Grower</t>
        </is>
      </c>
    </row>
    <row r="105" ht="15" customHeight="1" s="54">
      <c r="A105" s="74" t="inlineStr">
        <is>
          <t>T-M20-04</t>
        </is>
      </c>
      <c r="B105" s="74" t="inlineStr">
        <is>
          <t>Processing Margin</t>
        </is>
      </c>
      <c r="C105" s="74" t="inlineStr">
        <is>
          <t>Commodity-specific tool for Wine</t>
        </is>
      </c>
      <c r="D105" s="74" t="inlineStr">
        <is>
          <t>M20</t>
        </is>
      </c>
      <c r="E105" s="75" t="inlineStr">
        <is>
          <t>Processing Margin</t>
        </is>
      </c>
    </row>
    <row r="106" ht="15" customHeight="1" s="54">
      <c r="A106" s="74" t="inlineStr">
        <is>
          <t>T-M20-05</t>
        </is>
      </c>
      <c r="B106" s="74" t="inlineStr">
        <is>
          <t>Market Price Comparator</t>
        </is>
      </c>
      <c r="C106" s="74" t="inlineStr">
        <is>
          <t>The student's price against the benchmark and the four markets</t>
        </is>
      </c>
      <c r="D106" s="74" t="inlineStr">
        <is>
          <t>M20</t>
        </is>
      </c>
      <c r="E106" s="75" t="inlineStr">
        <is>
          <t>Market Price Comparator</t>
        </is>
      </c>
    </row>
    <row r="107" ht="15" customHeight="1" s="54">
      <c r="A107" s="74" t="inlineStr">
        <is>
          <t>T-CAP-01</t>
        </is>
      </c>
      <c r="B107" s="74" t="inlineStr">
        <is>
          <t>Venture Plan Builder</t>
        </is>
      </c>
      <c r="C107" s="74" t="inlineStr">
        <is>
          <t>Pulls Core and Major calculator outputs into one bankable plan for certification</t>
        </is>
      </c>
      <c r="D107" s="74" t="inlineStr">
        <is>
          <t>CAP</t>
        </is>
      </c>
      <c r="E107" s="75" t="inlineStr">
        <is>
          <t>T-CAP-01 Venture Plan</t>
        </is>
      </c>
    </row>
  </sheetData>
  <autoFilter ref="A4:E106"/>
  <hyperlinks>
    <hyperlink xmlns:r="http://schemas.openxmlformats.org/officeDocument/2006/relationships" ref="E5" location="'T-C-01%20Land%20Use'!A1" display="T-C-01 Land Use" r:id="rId1"/>
    <hyperlink xmlns:r="http://schemas.openxmlformats.org/officeDocument/2006/relationships" ref="E6" location="'T-C-02%20Start-Up%20Capital'!A1" display="T-C-02 Start-Up Capital" r:id="rId2"/>
    <hyperlink xmlns:r="http://schemas.openxmlformats.org/officeDocument/2006/relationships" ref="E7" location="'T-C-03%20Loan'!A1" display="T-C-03 Loan" r:id="rId3"/>
    <hyperlink xmlns:r="http://schemas.openxmlformats.org/officeDocument/2006/relationships" ref="E8" location="'T-C-04%20Cash%20Flow'!A1" display="T-C-04 Cash Flow" r:id="rId4"/>
    <hyperlink xmlns:r="http://schemas.openxmlformats.org/officeDocument/2006/relationships" ref="E9" location="'T-C-05%20Delivered%20Cost'!A1" display="T-C-05 Delivered Cost" r:id="rId5"/>
    <hyperlink xmlns:r="http://schemas.openxmlformats.org/officeDocument/2006/relationships" ref="E10" location="'T-C-06%20Break-Even'!A1" display="T-C-06 Break-Even" r:id="rId6"/>
    <hyperlink xmlns:r="http://schemas.openxmlformats.org/officeDocument/2006/relationships" ref="E11" location="'T-C-07%20Risk%20Register'!A1" display="T-C-07 Risk Register" r:id="rId7"/>
    <hyperlink xmlns:r="http://schemas.openxmlformats.org/officeDocument/2006/relationships" ref="E12" location="'Enterprise%20Budget'!A1" display="T-C-08 People and Labour" r:id="rId8"/>
    <hyperlink xmlns:r="http://schemas.openxmlformats.org/officeDocument/2006/relationships" ref="E13" location="'Input%20Plan'!A1" display="Enterprise Budget" r:id="rId9"/>
    <hyperlink xmlns:r="http://schemas.openxmlformats.org/officeDocument/2006/relationships" ref="E14" location="'Yield-to-Income'!A1" display="Input Plan" r:id="rId10"/>
    <hyperlink xmlns:r="http://schemas.openxmlformats.org/officeDocument/2006/relationships" ref="E15" location="'Storage%20vs%20Sell'!A1" display="Yield-to-Income" r:id="rId11"/>
    <hyperlink xmlns:r="http://schemas.openxmlformats.org/officeDocument/2006/relationships" ref="E16" location="'Market%20Price%20Comparator'!A1" display="Storage vs Sell" r:id="rId12"/>
    <hyperlink xmlns:r="http://schemas.openxmlformats.org/officeDocument/2006/relationships" ref="E17" location="'Enterprise%20Budget'!A1" display="Market Price Comparator" r:id="rId13"/>
    <hyperlink xmlns:r="http://schemas.openxmlformats.org/officeDocument/2006/relationships" ref="E18" location="'Input%20Plan'!A1" display="Enterprise Budget" r:id="rId14"/>
    <hyperlink xmlns:r="http://schemas.openxmlformats.org/officeDocument/2006/relationships" ref="E19" location="'Yield-to-Income'!A1" display="Input Plan" r:id="rId15"/>
    <hyperlink xmlns:r="http://schemas.openxmlformats.org/officeDocument/2006/relationships" ref="E20" location="'Storage%20vs%20Sell'!A1" display="Yield-to-Income" r:id="rId16"/>
    <hyperlink xmlns:r="http://schemas.openxmlformats.org/officeDocument/2006/relationships" ref="E21" location="'Market%20Price%20Comparator'!A1" display="Storage vs Sell" r:id="rId17"/>
    <hyperlink xmlns:r="http://schemas.openxmlformats.org/officeDocument/2006/relationships" ref="E22" location="'Enterprise%20Budget'!A1" display="Market Price Comparator" r:id="rId18"/>
    <hyperlink xmlns:r="http://schemas.openxmlformats.org/officeDocument/2006/relationships" ref="E23" location="'Input%20Plan'!A1" display="Enterprise Budget" r:id="rId19"/>
    <hyperlink xmlns:r="http://schemas.openxmlformats.org/officeDocument/2006/relationships" ref="E24" location="'Yield-to-Income'!A1" display="Input Plan" r:id="rId20"/>
    <hyperlink xmlns:r="http://schemas.openxmlformats.org/officeDocument/2006/relationships" ref="E25" location="'Storage%20vs%20Sell'!A1" display="Yield-to-Income" r:id="rId21"/>
    <hyperlink xmlns:r="http://schemas.openxmlformats.org/officeDocument/2006/relationships" ref="E26" location="'Market%20Price%20Comparator'!A1" display="Storage vs Sell" r:id="rId22"/>
    <hyperlink xmlns:r="http://schemas.openxmlformats.org/officeDocument/2006/relationships" ref="E27" location="'Enterprise%20Budget'!A1" display="Market Price Comparator" r:id="rId23"/>
    <hyperlink xmlns:r="http://schemas.openxmlformats.org/officeDocument/2006/relationships" ref="E28" location="'Establishment%20Cost'!A1" display="Enterprise Budget" r:id="rId24"/>
    <hyperlink xmlns:r="http://schemas.openxmlformats.org/officeDocument/2006/relationships" ref="E29" location="'Years-to-First-Income'!A1" display="Establishment Cost" r:id="rId25"/>
    <hyperlink xmlns:r="http://schemas.openxmlformats.org/officeDocument/2006/relationships" ref="E30" location="'Export%20vs%20Local'!A1" display="Years-to-First-Income" r:id="rId26"/>
    <hyperlink xmlns:r="http://schemas.openxmlformats.org/officeDocument/2006/relationships" ref="E31" location="'Market%20Price%20Comparator'!A1" display="Export vs Local" r:id="rId27"/>
    <hyperlink xmlns:r="http://schemas.openxmlformats.org/officeDocument/2006/relationships" ref="E32" location="'Enterprise%20Budget'!A1" display="Market Price Comparator" r:id="rId28"/>
    <hyperlink xmlns:r="http://schemas.openxmlformats.org/officeDocument/2006/relationships" ref="E33" location="'Establishment%20Cost'!A1" display="Enterprise Budget" r:id="rId29"/>
    <hyperlink xmlns:r="http://schemas.openxmlformats.org/officeDocument/2006/relationships" ref="E34" location="'Years-to-First-Income'!A1" display="Establishment Cost" r:id="rId30"/>
    <hyperlink xmlns:r="http://schemas.openxmlformats.org/officeDocument/2006/relationships" ref="E35" location="'Export%20vs%20Local'!A1" display="Years-to-First-Income" r:id="rId31"/>
    <hyperlink xmlns:r="http://schemas.openxmlformats.org/officeDocument/2006/relationships" ref="E36" location="'Market%20Price%20Comparator'!A1" display="Export vs Local" r:id="rId32"/>
    <hyperlink xmlns:r="http://schemas.openxmlformats.org/officeDocument/2006/relationships" ref="E37" location="'Enterprise%20Budget'!A1" display="Market Price Comparator" r:id="rId33"/>
    <hyperlink xmlns:r="http://schemas.openxmlformats.org/officeDocument/2006/relationships" ref="E38" location="'Establishment%20Cost'!A1" display="Enterprise Budget" r:id="rId34"/>
    <hyperlink xmlns:r="http://schemas.openxmlformats.org/officeDocument/2006/relationships" ref="E39" location="'Years-to-First-Income'!A1" display="Establishment Cost" r:id="rId35"/>
    <hyperlink xmlns:r="http://schemas.openxmlformats.org/officeDocument/2006/relationships" ref="E40" location="'Export%20vs%20Local'!A1" display="Years-to-First-Income" r:id="rId36"/>
    <hyperlink xmlns:r="http://schemas.openxmlformats.org/officeDocument/2006/relationships" ref="E41" location="'Market%20Price%20Comparator'!A1" display="Export vs Local" r:id="rId37"/>
    <hyperlink xmlns:r="http://schemas.openxmlformats.org/officeDocument/2006/relationships" ref="E42" location="'Enterprise%20Budget'!A1" display="Market Price Comparator" r:id="rId38"/>
    <hyperlink xmlns:r="http://schemas.openxmlformats.org/officeDocument/2006/relationships" ref="E43" location="'Planting%20Schedule'!A1" display="Enterprise Budget" r:id="rId39"/>
    <hyperlink xmlns:r="http://schemas.openxmlformats.org/officeDocument/2006/relationships" ref="E44" location="'Seed%20and%20Input%20Plan'!A1" display="Planting Schedule" r:id="rId40"/>
    <hyperlink xmlns:r="http://schemas.openxmlformats.org/officeDocument/2006/relationships" ref="E45" location="'Fresh%20vs%20Processor'!A1" display="Seed and Input Plan" r:id="rId41"/>
    <hyperlink xmlns:r="http://schemas.openxmlformats.org/officeDocument/2006/relationships" ref="E46" location="'Market%20Price%20Comparator'!A1" display="Fresh vs Processor" r:id="rId42"/>
    <hyperlink xmlns:r="http://schemas.openxmlformats.org/officeDocument/2006/relationships" ref="E47" location="'Enterprise%20Budget'!A1" display="Market Price Comparator" r:id="rId43"/>
    <hyperlink xmlns:r="http://schemas.openxmlformats.org/officeDocument/2006/relationships" ref="E48" location="'Planting%20Schedule'!A1" display="Enterprise Budget" r:id="rId44"/>
    <hyperlink xmlns:r="http://schemas.openxmlformats.org/officeDocument/2006/relationships" ref="E49" location="'Seed%20and%20Input%20Plan'!A1" display="Planting Schedule" r:id="rId45"/>
    <hyperlink xmlns:r="http://schemas.openxmlformats.org/officeDocument/2006/relationships" ref="E50" location="'Fresh%20vs%20Processor'!A1" display="Seed and Input Plan" r:id="rId46"/>
    <hyperlink xmlns:r="http://schemas.openxmlformats.org/officeDocument/2006/relationships" ref="E51" location="'Market%20Price%20Comparator'!A1" display="Fresh vs Processor" r:id="rId47"/>
    <hyperlink xmlns:r="http://schemas.openxmlformats.org/officeDocument/2006/relationships" ref="E52" location="'Enterprise%20Budget'!A1" display="Market Price Comparator" r:id="rId48"/>
    <hyperlink xmlns:r="http://schemas.openxmlformats.org/officeDocument/2006/relationships" ref="E53" location="'Stocking%20Rate'!A1" display="Enterprise Budget" r:id="rId49"/>
    <hyperlink xmlns:r="http://schemas.openxmlformats.org/officeDocument/2006/relationships" ref="E54" location="'Herd%20Growth'!A1" display="Stocking Rate" r:id="rId50"/>
    <hyperlink xmlns:r="http://schemas.openxmlformats.org/officeDocument/2006/relationships" ref="E55" location="'Feedlot%20vs%20Veld'!A1" display="Herd Growth" r:id="rId51"/>
    <hyperlink xmlns:r="http://schemas.openxmlformats.org/officeDocument/2006/relationships" ref="E56" location="'Market%20Price%20Comparator'!A1" display="Feedlot vs Veld" r:id="rId52"/>
    <hyperlink xmlns:r="http://schemas.openxmlformats.org/officeDocument/2006/relationships" ref="E57" location="'Enterprise%20Budget'!A1" display="Market Price Comparator" r:id="rId53"/>
    <hyperlink xmlns:r="http://schemas.openxmlformats.org/officeDocument/2006/relationships" ref="E58" location="'Stocking%20Rate'!A1" display="Enterprise Budget" r:id="rId54"/>
    <hyperlink xmlns:r="http://schemas.openxmlformats.org/officeDocument/2006/relationships" ref="E59" location="'Herd%20Growth'!A1" display="Stocking Rate" r:id="rId55"/>
    <hyperlink xmlns:r="http://schemas.openxmlformats.org/officeDocument/2006/relationships" ref="E60" location="'Feedlot%20vs%20Veld'!A1" display="Herd Growth" r:id="rId56"/>
    <hyperlink xmlns:r="http://schemas.openxmlformats.org/officeDocument/2006/relationships" ref="E61" location="'Market%20Price%20Comparator'!A1" display="Feedlot vs Veld" r:id="rId57"/>
    <hyperlink xmlns:r="http://schemas.openxmlformats.org/officeDocument/2006/relationships" ref="E62" location="'Enterprise%20Budget'!A1" display="Market Price Comparator" r:id="rId58"/>
    <hyperlink xmlns:r="http://schemas.openxmlformats.org/officeDocument/2006/relationships" ref="E63" location="'Sow%20Productivity'!A1" display="Enterprise Budget" r:id="rId59"/>
    <hyperlink xmlns:r="http://schemas.openxmlformats.org/officeDocument/2006/relationships" ref="E64" location="'Feed%20Budget'!A1" display="Sow Productivity" r:id="rId60"/>
    <hyperlink xmlns:r="http://schemas.openxmlformats.org/officeDocument/2006/relationships" ref="E65" location="'Batch%20Margin'!A1" display="Feed Budget" r:id="rId61"/>
    <hyperlink xmlns:r="http://schemas.openxmlformats.org/officeDocument/2006/relationships" ref="E66" location="'Market%20Price%20Comparator'!A1" display="Batch Margin" r:id="rId62"/>
    <hyperlink xmlns:r="http://schemas.openxmlformats.org/officeDocument/2006/relationships" ref="E67" location="'Enterprise%20Budget'!A1" display="Market Price Comparator" r:id="rId63"/>
    <hyperlink xmlns:r="http://schemas.openxmlformats.org/officeDocument/2006/relationships" ref="E68" location="'Broiler%20Batch'!A1" display="Enterprise Budget" r:id="rId64"/>
    <hyperlink xmlns:r="http://schemas.openxmlformats.org/officeDocument/2006/relationships" ref="E69" location="'Layer%20Flock'!A1" display="Broiler Batch" r:id="rId65"/>
    <hyperlink xmlns:r="http://schemas.openxmlformats.org/officeDocument/2006/relationships" ref="E70" location="'Feed%20Conversion'!A1" display="Layer Flock" r:id="rId66"/>
    <hyperlink xmlns:r="http://schemas.openxmlformats.org/officeDocument/2006/relationships" ref="E71" location="'Market%20Price%20Comparator'!A1" display="Feed Conversion" r:id="rId67"/>
    <hyperlink xmlns:r="http://schemas.openxmlformats.org/officeDocument/2006/relationships" ref="E72" location="'Enterprise%20Budget'!A1" display="Market Price Comparator" r:id="rId68"/>
    <hyperlink xmlns:r="http://schemas.openxmlformats.org/officeDocument/2006/relationships" ref="E73" location="'Pond%20Stocking'!A1" display="Enterprise Budget" r:id="rId69"/>
    <hyperlink xmlns:r="http://schemas.openxmlformats.org/officeDocument/2006/relationships" ref="E74" location="'Feed%20Budget'!A1" display="Pond Stocking" r:id="rId70"/>
    <hyperlink xmlns:r="http://schemas.openxmlformats.org/officeDocument/2006/relationships" ref="E75" location="'Market%20Price%20Comparator'!A1" display="Feed Budget" r:id="rId71"/>
    <hyperlink xmlns:r="http://schemas.openxmlformats.org/officeDocument/2006/relationships" ref="E76" location="'Enterprise%20Budget'!A1" display="Market Price Comparator" r:id="rId72"/>
    <hyperlink xmlns:r="http://schemas.openxmlformats.org/officeDocument/2006/relationships" ref="E77" location="'Clip%20and%20Fleece'!A1" display="Enterprise Budget" r:id="rId73"/>
    <hyperlink xmlns:r="http://schemas.openxmlformats.org/officeDocument/2006/relationships" ref="E78" location="'Processing%20Margin'!A1" display="Clip and Fleece" r:id="rId74"/>
    <hyperlink xmlns:r="http://schemas.openxmlformats.org/officeDocument/2006/relationships" ref="E79" location="'Market%20Price%20Comparator'!A1" display="Processing Margin" r:id="rId75"/>
    <hyperlink xmlns:r="http://schemas.openxmlformats.org/officeDocument/2006/relationships" ref="E80" location="'Enterprise%20Budget'!A1" display="Market Price Comparator" r:id="rId76"/>
    <hyperlink xmlns:r="http://schemas.openxmlformats.org/officeDocument/2006/relationships" ref="E81" location="'Processing%20Margin'!A1" display="Enterprise Budget" r:id="rId77"/>
    <hyperlink xmlns:r="http://schemas.openxmlformats.org/officeDocument/2006/relationships" ref="E82" location="'Market%20Price%20Comparator'!A1" display="Processing Margin" r:id="rId78"/>
    <hyperlink xmlns:r="http://schemas.openxmlformats.org/officeDocument/2006/relationships" ref="E83" location="'Enterprise%20Budget'!A1" display="Market Price Comparator" r:id="rId79"/>
    <hyperlink xmlns:r="http://schemas.openxmlformats.org/officeDocument/2006/relationships" ref="E84" location="'Processing%20Margin'!A1" display="Enterprise Budget" r:id="rId80"/>
    <hyperlink xmlns:r="http://schemas.openxmlformats.org/officeDocument/2006/relationships" ref="E85" location="'Market%20Price%20Comparator'!A1" display="Processing Margin" r:id="rId81"/>
    <hyperlink xmlns:r="http://schemas.openxmlformats.org/officeDocument/2006/relationships" ref="E86" location="'Enterprise%20Budget'!A1" display="Market Price Comparator" r:id="rId82"/>
    <hyperlink xmlns:r="http://schemas.openxmlformats.org/officeDocument/2006/relationships" ref="E87" location="'Establishment%20Cost'!A1" display="Enterprise Budget" r:id="rId83"/>
    <hyperlink xmlns:r="http://schemas.openxmlformats.org/officeDocument/2006/relationships" ref="E88" location="'Contract%20Grower'!A1" display="Establishment Cost" r:id="rId84"/>
    <hyperlink xmlns:r="http://schemas.openxmlformats.org/officeDocument/2006/relationships" ref="E89" location="'Processing%20Margin'!A1" display="Contract Grower" r:id="rId85"/>
    <hyperlink xmlns:r="http://schemas.openxmlformats.org/officeDocument/2006/relationships" ref="E90" location="'Market%20Price%20Comparator'!A1" display="Processing Margin" r:id="rId86"/>
    <hyperlink xmlns:r="http://schemas.openxmlformats.org/officeDocument/2006/relationships" ref="E91" location="'Enterprise%20Budget'!A1" display="Market Price Comparator" r:id="rId87"/>
    <hyperlink xmlns:r="http://schemas.openxmlformats.org/officeDocument/2006/relationships" ref="E92" location="'Establishment%20Cost'!A1" display="Enterprise Budget" r:id="rId88"/>
    <hyperlink xmlns:r="http://schemas.openxmlformats.org/officeDocument/2006/relationships" ref="E93" location="'Contract%20Grower'!A1" display="Establishment Cost" r:id="rId89"/>
    <hyperlink xmlns:r="http://schemas.openxmlformats.org/officeDocument/2006/relationships" ref="E94" location="'Processing%20Margin'!A1" display="Contract Grower" r:id="rId90"/>
    <hyperlink xmlns:r="http://schemas.openxmlformats.org/officeDocument/2006/relationships" ref="E95" location="'Market%20Price%20Comparator'!A1" display="Processing Margin" r:id="rId91"/>
    <hyperlink xmlns:r="http://schemas.openxmlformats.org/officeDocument/2006/relationships" ref="E96" location="'Enterprise%20Budget'!A1" display="Market Price Comparator" r:id="rId92"/>
    <hyperlink xmlns:r="http://schemas.openxmlformats.org/officeDocument/2006/relationships" ref="E97" location="'Establishment%20Cost'!A1" display="Enterprise Budget" r:id="rId93"/>
    <hyperlink xmlns:r="http://schemas.openxmlformats.org/officeDocument/2006/relationships" ref="E98" location="'Contract%20Grower'!A1" display="Establishment Cost" r:id="rId94"/>
    <hyperlink xmlns:r="http://schemas.openxmlformats.org/officeDocument/2006/relationships" ref="E99" location="'Processing%20Margin'!A1" display="Contract Grower" r:id="rId95"/>
    <hyperlink xmlns:r="http://schemas.openxmlformats.org/officeDocument/2006/relationships" ref="E100" location="'Market%20Price%20Comparator'!A1" display="Processing Margin" r:id="rId96"/>
    <hyperlink xmlns:r="http://schemas.openxmlformats.org/officeDocument/2006/relationships" ref="E101" location="'Enterprise%20Budget'!A1" display="Market Price Comparator" r:id="rId97"/>
    <hyperlink xmlns:r="http://schemas.openxmlformats.org/officeDocument/2006/relationships" ref="E102" location="'Establishment%20Cost'!A1" display="Enterprise Budget" r:id="rId98"/>
    <hyperlink xmlns:r="http://schemas.openxmlformats.org/officeDocument/2006/relationships" ref="E103" location="'Contract%20Grower'!A1" display="Establishment Cost" r:id="rId99"/>
    <hyperlink xmlns:r="http://schemas.openxmlformats.org/officeDocument/2006/relationships" ref="E104" location="'Processing%20Margin'!A1" display="Contract Grower" r:id="rId100"/>
    <hyperlink xmlns:r="http://schemas.openxmlformats.org/officeDocument/2006/relationships" ref="E105" location="'Market%20Price%20Comparator'!A1" display="Processing Margin" r:id="rId101"/>
    <hyperlink xmlns:r="http://schemas.openxmlformats.org/officeDocument/2006/relationships" ref="E106" location="'T-CAP-01%20Venture%20Plan'!A1" display="Market Price Comparator" r:id="rId102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03"/>
</worksheet>
</file>

<file path=xl/worksheets/sheet3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C1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53" min="1" max="1"/>
    <col width="22" customWidth="1" style="53" min="2" max="2"/>
    <col width="40" customWidth="1" style="53" min="3" max="3"/>
  </cols>
  <sheetData>
    <row r="1" ht="17.25" customHeight="1" s="54">
      <c r="A1" s="71" t="inlineStr">
        <is>
          <t>SETTINGS  Your settings</t>
        </is>
      </c>
    </row>
    <row r="2" ht="15" customHeight="1" s="54">
      <c r="A2" s="72" t="inlineStr">
        <is>
          <t>Set these once. Every calculator reads them.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7" t="inlineStr">
        <is>
          <t>Your venture</t>
        </is>
      </c>
    </row>
    <row r="6" ht="15" customHeight="1" s="54">
      <c r="A6" s="78" t="inlineStr">
        <is>
          <t>Country</t>
        </is>
      </c>
      <c r="B6" s="79" t="inlineStr">
        <is>
          <t>Zimbabwe</t>
        </is>
      </c>
      <c r="C6" s="76" t="inlineStr">
        <is>
          <t>Pick from the list</t>
        </is>
      </c>
    </row>
    <row r="7" ht="15" customHeight="1" s="54">
      <c r="A7" s="78" t="inlineStr">
        <is>
          <t>Working currency</t>
        </is>
      </c>
      <c r="B7" s="80">
        <f>VLOOKUP(B6,Currency!$A$3:$B$7,2,FALSE())</f>
        <v/>
      </c>
    </row>
    <row r="8" ht="15" customHeight="1" s="54">
      <c r="A8" s="78" t="inlineStr">
        <is>
          <t>Total land (hectares)</t>
        </is>
      </c>
      <c r="B8" s="81" t="n">
        <v>2</v>
      </c>
    </row>
    <row r="9" ht="15" customHeight="1" s="54">
      <c r="A9" s="78" t="inlineStr">
        <is>
          <t>Your Major</t>
        </is>
      </c>
      <c r="B9" s="79" t="inlineStr">
        <is>
          <t>M1 Maize</t>
        </is>
      </c>
      <c r="C9" s="76" t="inlineStr">
        <is>
          <t>Pick from the list</t>
        </is>
      </c>
    </row>
    <row r="10" ht="15" customHeight="1" s="54">
      <c r="A10" s="78" t="inlineStr">
        <is>
          <t>Venture name</t>
        </is>
      </c>
      <c r="B10" s="79" t="inlineStr">
        <is>
          <t>Grandfather's Two Hectares</t>
        </is>
      </c>
    </row>
    <row r="11" ht="15" customHeight="1" s="54">
      <c r="A11" s="78" t="inlineStr">
        <is>
          <t>Owner</t>
        </is>
      </c>
      <c r="B11" s="79" t="inlineStr">
        <is>
          <t>Your name</t>
        </is>
      </c>
    </row>
    <row r="12" ht="15" customHeight="1" s="54">
      <c r="A12" s="78" t="inlineStr">
        <is>
          <t>Location</t>
        </is>
      </c>
      <c r="B12" s="79" t="inlineStr">
        <is>
          <t>Chegutu, Mashonaland West</t>
        </is>
      </c>
    </row>
    <row r="13" ht="15" customHeight="1" s="54">
      <c r="A13" s="78" t="inlineStr">
        <is>
          <t>Rate: local currency per 1 US$</t>
        </is>
      </c>
      <c r="B13" s="82">
        <f>VLOOKUP(B6,Currency!$A$3:$C$7,3,FALSE())</f>
        <v/>
      </c>
      <c r="C13" s="76" t="inlineStr">
        <is>
          <t>Set on the Currency sheet</t>
        </is>
      </c>
    </row>
  </sheetData>
  <dataValidations count="2">
    <dataValidation sqref="B6" showDropDown="0" showInputMessage="0" showErrorMessage="0" allowBlank="0" type="list" errorStyle="stop" operator="between">
      <formula1>"South Africa,Zimbabwe,Zambia,Botswana,Namibia"</formula1>
      <formula2>0</formula2>
    </dataValidation>
    <dataValidation sqref="B9" showDropDown="0" showInputMessage="0" showErrorMessage="0" allowBlank="0" type="list" errorStyle="stop" operator="between">
      <formula1>Lists!$A$1:$A$20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E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0" customWidth="1" style="53" min="1" max="1"/>
    <col width="16" customWidth="1" style="53" min="2" max="2"/>
    <col width="26" customWidth="1" style="53" min="3" max="3"/>
    <col width="16" customWidth="1" style="53" min="4" max="4"/>
    <col width="40" customWidth="1" style="53" min="5" max="5"/>
  </cols>
  <sheetData>
    <row r="1" ht="17.25" customHeight="1" s="54">
      <c r="A1" s="71" t="inlineStr">
        <is>
          <t>CURRENCY  Exchange rates</t>
        </is>
      </c>
    </row>
    <row r="2" ht="30" customHeight="1" s="54">
      <c r="A2" s="73" t="inlineStr">
        <is>
          <t>Country</t>
        </is>
      </c>
      <c r="B2" s="73" t="inlineStr">
        <is>
          <t>Currency</t>
        </is>
      </c>
      <c r="C2" s="73" t="inlineStr">
        <is>
          <t>Local currency per 1 US$</t>
        </is>
      </c>
      <c r="D2" s="73" t="inlineStr">
        <is>
          <t>Rate date</t>
        </is>
      </c>
      <c r="E2" s="73" t="inlineStr">
        <is>
          <t>Note</t>
        </is>
      </c>
    </row>
    <row r="3" ht="15" customHeight="1" s="54">
      <c r="A3" s="78" t="inlineStr">
        <is>
          <t>South Africa</t>
        </is>
      </c>
      <c r="B3" s="78" t="inlineStr">
        <is>
          <t>ZAR</t>
        </is>
      </c>
      <c r="C3" s="83" t="n"/>
      <c r="D3" s="84" t="n"/>
      <c r="E3" s="85" t="inlineStr">
        <is>
          <t>Enter the rate from your bank or central bank</t>
        </is>
      </c>
    </row>
    <row r="4" ht="15" customHeight="1" s="54">
      <c r="A4" s="78" t="inlineStr">
        <is>
          <t>Zimbabwe</t>
        </is>
      </c>
      <c r="B4" s="78" t="inlineStr">
        <is>
          <t>USD</t>
        </is>
      </c>
      <c r="C4" s="86" t="n">
        <v>1</v>
      </c>
      <c r="E4" s="85" t="inlineStr">
        <is>
          <t>Zimbabwe plans are run in US dollars</t>
        </is>
      </c>
    </row>
    <row r="5" ht="15" customHeight="1" s="54">
      <c r="A5" s="78" t="inlineStr">
        <is>
          <t>Zambia</t>
        </is>
      </c>
      <c r="B5" s="78" t="inlineStr">
        <is>
          <t>ZMW</t>
        </is>
      </c>
      <c r="C5" s="83" t="n"/>
      <c r="D5" s="84" t="n"/>
      <c r="E5" s="85" t="inlineStr">
        <is>
          <t>Enter the rate from your bank or central bank</t>
        </is>
      </c>
    </row>
    <row r="6" ht="15" customHeight="1" s="54">
      <c r="A6" s="78" t="inlineStr">
        <is>
          <t>Botswana</t>
        </is>
      </c>
      <c r="B6" s="78" t="inlineStr">
        <is>
          <t>BWP</t>
        </is>
      </c>
      <c r="C6" s="83" t="n"/>
      <c r="D6" s="84" t="n"/>
      <c r="E6" s="85" t="inlineStr">
        <is>
          <t>Enter the rate from your bank or central bank</t>
        </is>
      </c>
    </row>
    <row r="7" ht="15" customHeight="1" s="54">
      <c r="A7" s="78" t="inlineStr">
        <is>
          <t>Namibia</t>
        </is>
      </c>
      <c r="B7" s="78" t="inlineStr">
        <is>
          <t>NAD</t>
        </is>
      </c>
      <c r="C7" s="83" t="n"/>
      <c r="D7" s="84" t="n"/>
      <c r="E7" s="85" t="inlineStr">
        <is>
          <t>Enter the rate from your bank or central bank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A2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sheetData>
    <row r="1" ht="15" customHeight="1" s="54">
      <c r="A1" s="71" t="inlineStr">
        <is>
          <t>M1 Maize</t>
        </is>
      </c>
    </row>
    <row r="2" ht="15" customHeight="1" s="54">
      <c r="A2" s="78" t="inlineStr">
        <is>
          <t>M2 Small Grains and Sorghum</t>
        </is>
      </c>
    </row>
    <row r="3" ht="15" customHeight="1" s="54">
      <c r="A3" s="78" t="inlineStr">
        <is>
          <t>M3 Oilseeds</t>
        </is>
      </c>
    </row>
    <row r="4" ht="15" customHeight="1" s="54">
      <c r="A4" s="78" t="inlineStr">
        <is>
          <t>M4 Citrus</t>
        </is>
      </c>
    </row>
    <row r="5" ht="15" customHeight="1" s="54">
      <c r="A5" s="78" t="inlineStr">
        <is>
          <t>M5 Deciduous Fruit and Table Grapes</t>
        </is>
      </c>
    </row>
    <row r="6" ht="15" customHeight="1" s="54">
      <c r="A6" s="78" t="inlineStr">
        <is>
          <t>M6 Subtropical Fruit and Nuts</t>
        </is>
      </c>
    </row>
    <row r="7" ht="15" customHeight="1" s="54">
      <c r="A7" s="78" t="inlineStr">
        <is>
          <t>M7 Potato</t>
        </is>
      </c>
    </row>
    <row r="8" ht="15" customHeight="1" s="54">
      <c r="A8" s="78" t="inlineStr">
        <is>
          <t>M8 Fresh Vegetables</t>
        </is>
      </c>
    </row>
    <row r="9" ht="15" customHeight="1" s="54">
      <c r="A9" s="78" t="inlineStr">
        <is>
          <t>M9 Beef</t>
        </is>
      </c>
    </row>
    <row r="10" ht="15" customHeight="1" s="54">
      <c r="A10" s="78" t="inlineStr">
        <is>
          <t>M10 Sheep and Goats</t>
        </is>
      </c>
    </row>
    <row r="11" ht="15" customHeight="1" s="54">
      <c r="A11" s="78" t="inlineStr">
        <is>
          <t>M11 Pork</t>
        </is>
      </c>
    </row>
    <row r="12" ht="15" customHeight="1" s="54">
      <c r="A12" s="78" t="inlineStr">
        <is>
          <t>M12 Poultry and Ostrich</t>
        </is>
      </c>
    </row>
    <row r="13" ht="15" customHeight="1" s="54">
      <c r="A13" s="78" t="inlineStr">
        <is>
          <t>M13 Aquaculture</t>
        </is>
      </c>
    </row>
    <row r="14" ht="15" customHeight="1" s="54">
      <c r="A14" s="78" t="inlineStr">
        <is>
          <t>M14 Wool and Mohair</t>
        </is>
      </c>
    </row>
    <row r="15" ht="15" customHeight="1" s="54">
      <c r="A15" s="78" t="inlineStr">
        <is>
          <t>M15 Cotton and Hemp</t>
        </is>
      </c>
    </row>
    <row r="16" ht="15" customHeight="1" s="54">
      <c r="A16" s="78" t="inlineStr">
        <is>
          <t>M16 Hides, Skins and Leather</t>
        </is>
      </c>
    </row>
    <row r="17" ht="15" customHeight="1" s="54">
      <c r="A17" s="78" t="inlineStr">
        <is>
          <t>M17 Sugar</t>
        </is>
      </c>
    </row>
    <row r="18" ht="15" customHeight="1" s="54">
      <c r="A18" s="78" t="inlineStr">
        <is>
          <t>M18 Tea and Coffee</t>
        </is>
      </c>
    </row>
    <row r="19" ht="15" customHeight="1" s="54">
      <c r="A19" s="78" t="inlineStr">
        <is>
          <t>M19 Tobacco</t>
        </is>
      </c>
    </row>
    <row r="20" ht="15" customHeight="1" s="54">
      <c r="A20" s="78" t="inlineStr">
        <is>
          <t>M20 Wine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J1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4" customWidth="1" style="53" min="1" max="1"/>
    <col width="30" customWidth="1" style="53" min="2" max="2"/>
    <col width="14" customWidth="1" style="53" min="3" max="5"/>
    <col width="12" customWidth="1" style="53" min="6" max="8"/>
    <col width="34" customWidth="1" style="53" min="9" max="9"/>
    <col width="30" customWidth="1" style="53" min="10" max="10"/>
  </cols>
  <sheetData>
    <row r="1" ht="17.25" customHeight="1" s="54">
      <c r="A1" s="71" t="inlineStr">
        <is>
          <t>BENCHMARKS  Dated price benchmarks from the RIMAI data layer</t>
        </is>
      </c>
    </row>
    <row r="2" ht="15" customHeight="1" s="54">
      <c r="A2" s="72" t="inlineStr">
        <is>
          <t>Read by the Market Price Comparator. Each figure carries its year and source. Refreshed each season from rimai-data-layer.</t>
        </is>
      </c>
    </row>
    <row r="3"/>
    <row r="4" ht="39" customHeight="1" s="54">
      <c r="A4" s="73" t="inlineStr">
        <is>
          <t>Key</t>
        </is>
      </c>
      <c r="B4" s="73" t="inlineStr">
        <is>
          <t>Benchmark</t>
        </is>
      </c>
      <c r="C4" s="73" t="inlineStr">
        <is>
          <t>Country</t>
        </is>
      </c>
      <c r="D4" s="73" t="inlineStr">
        <is>
          <t>Price</t>
        </is>
      </c>
      <c r="E4" s="73" t="inlineStr">
        <is>
          <t>Currency</t>
        </is>
      </c>
      <c r="F4" s="73" t="inlineStr">
        <is>
          <t>Per</t>
        </is>
      </c>
      <c r="G4" s="73" t="inlineStr">
        <is>
          <t>Year</t>
        </is>
      </c>
      <c r="H4" s="73" t="inlineStr">
        <is>
          <t>Price per tonne or kg in US$</t>
        </is>
      </c>
      <c r="I4" s="73" t="inlineStr">
        <is>
          <t>Source</t>
        </is>
      </c>
      <c r="J4" s="73" t="inlineStr">
        <is>
          <t>Status</t>
        </is>
      </c>
    </row>
    <row r="5" ht="15" customHeight="1" s="54">
      <c r="A5" s="80" t="inlineStr">
        <is>
          <t>M1|South Africa</t>
        </is>
      </c>
      <c r="B5" s="80" t="inlineStr">
        <is>
          <t>White maize</t>
        </is>
      </c>
      <c r="C5" s="80" t="inlineStr">
        <is>
          <t>South Africa</t>
        </is>
      </c>
      <c r="D5" s="87" t="n"/>
      <c r="E5" s="80" t="inlineStr">
        <is>
          <t>ZAR</t>
        </is>
      </c>
      <c r="F5" s="80" t="inlineStr">
        <is>
          <t>t</t>
        </is>
      </c>
      <c r="G5" s="80" t="inlineStr">
        <is>
          <t>2026</t>
        </is>
      </c>
      <c r="H5" s="88">
        <f>IF(D5="","",IFERROR(D5/VLOOKUP(C5,Currency!$A$3:$C$7,3,FALSE()),"Enter rate"))</f>
        <v/>
      </c>
      <c r="I5" s="74" t="inlineStr">
        <is>
          <t>SAFEX - enter current spot</t>
        </is>
      </c>
      <c r="J5" s="74" t="inlineStr">
        <is>
          <t>Not yet sourced</t>
        </is>
      </c>
    </row>
    <row r="6" ht="15" customHeight="1" s="54">
      <c r="A6" s="80" t="inlineStr">
        <is>
          <t>M1|Zimbabwe</t>
        </is>
      </c>
      <c r="B6" s="80" t="inlineStr">
        <is>
          <t>Maize, GMB producer price</t>
        </is>
      </c>
      <c r="C6" s="80" t="inlineStr">
        <is>
          <t>Zimbabwe</t>
        </is>
      </c>
      <c r="D6" s="88" t="n">
        <v>364.75</v>
      </c>
      <c r="E6" s="80" t="inlineStr">
        <is>
          <t>USD</t>
        </is>
      </c>
      <c r="F6" s="80" t="inlineStr">
        <is>
          <t>t</t>
        </is>
      </c>
      <c r="G6" s="80" t="inlineStr">
        <is>
          <t>2025/26</t>
        </is>
      </c>
      <c r="H6" s="88">
        <f>IF(D6="","",IFERROR(D6/VLOOKUP(C6,Currency!$A$3:$C$7,3,FALSE()),"Enter rate"))</f>
        <v/>
      </c>
      <c r="I6" s="74" t="inlineStr">
        <is>
          <t>GMB via The Herald</t>
        </is>
      </c>
      <c r="J6" s="74" t="inlineStr">
        <is>
          <t>Sourced</t>
        </is>
      </c>
    </row>
    <row r="7" ht="15" customHeight="1" s="54">
      <c r="A7" s="80" t="inlineStr">
        <is>
          <t>M1|Zambia</t>
        </is>
      </c>
      <c r="B7" s="80" t="inlineStr">
        <is>
          <t>Maize, FRA floor price</t>
        </is>
      </c>
      <c r="C7" s="80" t="inlineStr">
        <is>
          <t>Zambia</t>
        </is>
      </c>
      <c r="D7" s="88" t="n">
        <v>6940</v>
      </c>
      <c r="E7" s="80" t="inlineStr">
        <is>
          <t>ZMW</t>
        </is>
      </c>
      <c r="F7" s="80" t="inlineStr">
        <is>
          <t>t</t>
        </is>
      </c>
      <c r="G7" s="80" t="inlineStr">
        <is>
          <t>2026</t>
        </is>
      </c>
      <c r="H7" s="88">
        <f>IF(D7="","",IFERROR(D7/VLOOKUP(C7,Currency!$A$3:$C$7,3,FALSE()),"Enter rate"))</f>
        <v/>
      </c>
      <c r="I7" s="74" t="inlineStr">
        <is>
          <t>FRA via Lusaka Times (K6.94/kg)</t>
        </is>
      </c>
      <c r="J7" s="74" t="inlineStr">
        <is>
          <t>Sourced</t>
        </is>
      </c>
    </row>
    <row r="8" ht="15" customHeight="1" s="54">
      <c r="A8" s="80" t="inlineStr">
        <is>
          <t>M1|Botswana</t>
        </is>
      </c>
      <c r="B8" s="80" t="inlineStr">
        <is>
          <t>Maize, local supply price</t>
        </is>
      </c>
      <c r="C8" s="80" t="inlineStr">
        <is>
          <t>Botswana</t>
        </is>
      </c>
      <c r="D8" s="88" t="n">
        <v>3600</v>
      </c>
      <c r="E8" s="80" t="inlineStr">
        <is>
          <t>BWP</t>
        </is>
      </c>
      <c r="F8" s="80" t="inlineStr">
        <is>
          <t>t</t>
        </is>
      </c>
      <c r="G8" s="80" t="inlineStr">
        <is>
          <t>Nov 2022</t>
        </is>
      </c>
      <c r="H8" s="88">
        <f>IF(D8="","",IFERROR(D8/VLOOKUP(C8,Currency!$A$3:$C$7,3,FALSE()),"Enter rate"))</f>
        <v/>
      </c>
      <c r="I8" s="74" t="inlineStr">
        <is>
          <t>BAMB via Mmegi</t>
        </is>
      </c>
      <c r="J8" s="74" t="inlineStr">
        <is>
          <t>Sourced</t>
        </is>
      </c>
    </row>
    <row r="9" ht="15" customHeight="1" s="54">
      <c r="A9" s="80" t="inlineStr">
        <is>
          <t>M1|Namibia</t>
        </is>
      </c>
      <c r="B9" s="80" t="inlineStr">
        <is>
          <t>White maize, local average</t>
        </is>
      </c>
      <c r="C9" s="80" t="inlineStr">
        <is>
          <t>Namibia</t>
        </is>
      </c>
      <c r="D9" s="88" t="n">
        <v>6385</v>
      </c>
      <c r="E9" s="80" t="inlineStr">
        <is>
          <t>NAD</t>
        </is>
      </c>
      <c r="F9" s="80" t="inlineStr">
        <is>
          <t>t</t>
        </is>
      </c>
      <c r="G9" s="80" t="inlineStr">
        <is>
          <t>2025</t>
        </is>
      </c>
      <c r="H9" s="88">
        <f>IF(D9="","",IFERROR(D9/VLOOKUP(C9,Currency!$A$3:$C$7,3,FALSE()),"Enter rate"))</f>
        <v/>
      </c>
      <c r="I9" s="74" t="inlineStr">
        <is>
          <t>NAB annual report</t>
        </is>
      </c>
      <c r="J9" s="74" t="inlineStr">
        <is>
          <t>Sourced</t>
        </is>
      </c>
    </row>
    <row r="10" ht="15" customHeight="1" s="54">
      <c r="A10" s="80" t="inlineStr">
        <is>
          <t>M2|Zimbabwe</t>
        </is>
      </c>
      <c r="B10" s="80" t="inlineStr">
        <is>
          <t>Sorghum, GMB (same as maize)</t>
        </is>
      </c>
      <c r="C10" s="80" t="inlineStr">
        <is>
          <t>Zimbabwe</t>
        </is>
      </c>
      <c r="D10" s="88" t="n">
        <v>364.75</v>
      </c>
      <c r="E10" s="80" t="inlineStr">
        <is>
          <t>USD</t>
        </is>
      </c>
      <c r="F10" s="80" t="inlineStr">
        <is>
          <t>t</t>
        </is>
      </c>
      <c r="G10" s="80" t="inlineStr">
        <is>
          <t>2025/26</t>
        </is>
      </c>
      <c r="H10" s="88">
        <f>IF(D10="","",IFERROR(D10/VLOOKUP(C10,Currency!$A$3:$C$7,3,FALSE()),"Enter rate"))</f>
        <v/>
      </c>
      <c r="I10" s="74" t="inlineStr">
        <is>
          <t>GMB via The Herald</t>
        </is>
      </c>
      <c r="J10" s="74" t="inlineStr">
        <is>
          <t>Sourced</t>
        </is>
      </c>
    </row>
    <row r="11" ht="15" customHeight="1" s="54">
      <c r="A11" s="80" t="inlineStr">
        <is>
          <t>M2|Botswana</t>
        </is>
      </c>
      <c r="B11" s="80" t="inlineStr">
        <is>
          <t>Sorghum, BAMB</t>
        </is>
      </c>
      <c r="C11" s="80" t="inlineStr">
        <is>
          <t>Botswana</t>
        </is>
      </c>
      <c r="D11" s="88" t="n">
        <v>4100</v>
      </c>
      <c r="E11" s="80" t="inlineStr">
        <is>
          <t>BWP</t>
        </is>
      </c>
      <c r="F11" s="80" t="inlineStr">
        <is>
          <t>t</t>
        </is>
      </c>
      <c r="G11" s="80" t="inlineStr">
        <is>
          <t>2023</t>
        </is>
      </c>
      <c r="H11" s="88">
        <f>IF(D11="","",IFERROR(D11/VLOOKUP(C11,Currency!$A$3:$C$7,3,FALSE()),"Enter rate"))</f>
        <v/>
      </c>
      <c r="I11" s="74" t="inlineStr">
        <is>
          <t>BAMB via Mmegi</t>
        </is>
      </c>
      <c r="J11" s="74" t="inlineStr">
        <is>
          <t>Sourced</t>
        </is>
      </c>
    </row>
    <row r="12" ht="15" customHeight="1" s="54">
      <c r="A12" s="80" t="inlineStr">
        <is>
          <t>M2|Namibia</t>
        </is>
      </c>
      <c r="B12" s="80" t="inlineStr">
        <is>
          <t>Mahangu floor price</t>
        </is>
      </c>
      <c r="C12" s="80" t="inlineStr">
        <is>
          <t>Namibia</t>
        </is>
      </c>
      <c r="D12" s="88" t="n">
        <v>7203</v>
      </c>
      <c r="E12" s="80" t="inlineStr">
        <is>
          <t>NAD</t>
        </is>
      </c>
      <c r="F12" s="80" t="inlineStr">
        <is>
          <t>t</t>
        </is>
      </c>
      <c r="G12" s="80" t="inlineStr">
        <is>
          <t>2025</t>
        </is>
      </c>
      <c r="H12" s="88">
        <f>IF(D12="","",IFERROR(D12/VLOOKUP(C12,Currency!$A$3:$C$7,3,FALSE()),"Enter rate"))</f>
        <v/>
      </c>
      <c r="I12" s="74" t="inlineStr">
        <is>
          <t>NAB</t>
        </is>
      </c>
      <c r="J12" s="74" t="inlineStr">
        <is>
          <t>Sourced</t>
        </is>
      </c>
    </row>
    <row r="13" ht="15" customHeight="1" s="54">
      <c r="A13" s="80" t="inlineStr">
        <is>
          <t>M3|Zimbabwe</t>
        </is>
      </c>
      <c r="B13" s="80" t="inlineStr">
        <is>
          <t>Soya beans, GMB</t>
        </is>
      </c>
      <c r="C13" s="80" t="inlineStr">
        <is>
          <t>Zimbabwe</t>
        </is>
      </c>
      <c r="D13" s="88" t="n">
        <v>583.01</v>
      </c>
      <c r="E13" s="80" t="inlineStr">
        <is>
          <t>USD</t>
        </is>
      </c>
      <c r="F13" s="80" t="inlineStr">
        <is>
          <t>t</t>
        </is>
      </c>
      <c r="G13" s="80" t="inlineStr">
        <is>
          <t>2025/26</t>
        </is>
      </c>
      <c r="H13" s="88">
        <f>IF(D13="","",IFERROR(D13/VLOOKUP(C13,Currency!$A$3:$C$7,3,FALSE()),"Enter rate"))</f>
        <v/>
      </c>
      <c r="I13" s="74" t="inlineStr">
        <is>
          <t>GMB via The Herald</t>
        </is>
      </c>
      <c r="J13" s="74" t="inlineStr">
        <is>
          <t>Sourced</t>
        </is>
      </c>
    </row>
    <row r="14" ht="15" customHeight="1" s="54">
      <c r="A14" s="80" t="inlineStr">
        <is>
          <t>M9|Botswana</t>
        </is>
      </c>
      <c r="B14" s="80" t="inlineStr">
        <is>
          <t>Cattle, BMC direct purchase, live</t>
        </is>
      </c>
      <c r="C14" s="80" t="inlineStr">
        <is>
          <t>Botswana</t>
        </is>
      </c>
      <c r="D14" s="88" t="n">
        <v>16</v>
      </c>
      <c r="E14" s="80" t="inlineStr">
        <is>
          <t>BWP</t>
        </is>
      </c>
      <c r="F14" s="80" t="inlineStr">
        <is>
          <t>kg</t>
        </is>
      </c>
      <c r="G14" s="80" t="inlineStr">
        <is>
          <t>Oct 2025</t>
        </is>
      </c>
      <c r="H14" s="88">
        <f>IF(D14="","",IFERROR(D14/VLOOKUP(C14,Currency!$A$3:$C$7,3,FALSE()),"Enter rate"))</f>
        <v/>
      </c>
      <c r="I14" s="74" t="inlineStr">
        <is>
          <t>BMC via Mmegi</t>
        </is>
      </c>
      <c r="J14" s="74" t="inlineStr">
        <is>
          <t>Sourced</t>
        </is>
      </c>
    </row>
    <row r="15" ht="15" customHeight="1" s="54">
      <c r="A15" s="80" t="inlineStr">
        <is>
          <t>M9|Namibia</t>
        </is>
      </c>
      <c r="B15" s="80" t="inlineStr">
        <is>
          <t>Weaner auction price</t>
        </is>
      </c>
      <c r="C15" s="80" t="inlineStr">
        <is>
          <t>Namibia</t>
        </is>
      </c>
      <c r="D15" s="88" t="n">
        <v>30.47</v>
      </c>
      <c r="E15" s="80" t="inlineStr">
        <is>
          <t>NAD</t>
        </is>
      </c>
      <c r="F15" s="80" t="inlineStr">
        <is>
          <t>kg</t>
        </is>
      </c>
      <c r="G15" s="80" t="inlineStr">
        <is>
          <t>May 2025</t>
        </is>
      </c>
      <c r="H15" s="88">
        <f>IF(D15="","",IFERROR(D15/VLOOKUP(C15,Currency!$A$3:$C$7,3,FALSE()),"Enter rate"))</f>
        <v/>
      </c>
      <c r="I15" s="74" t="inlineStr">
        <is>
          <t>Meat Board of Namibia</t>
        </is>
      </c>
      <c r="J15" s="74" t="inlineStr">
        <is>
          <t>Sourced</t>
        </is>
      </c>
    </row>
    <row r="16" ht="15" customHeight="1" s="54">
      <c r="A16" s="80" t="inlineStr">
        <is>
          <t>M11|Namibia</t>
        </is>
      </c>
      <c r="B16" s="80" t="inlineStr">
        <is>
          <t>Pork ceiling price, carcass</t>
        </is>
      </c>
      <c r="C16" s="80" t="inlineStr">
        <is>
          <t>Namibia</t>
        </is>
      </c>
      <c r="D16" s="88" t="n">
        <v>51.03</v>
      </c>
      <c r="E16" s="80" t="inlineStr">
        <is>
          <t>NAD</t>
        </is>
      </c>
      <c r="F16" s="80" t="inlineStr">
        <is>
          <t>kg</t>
        </is>
      </c>
      <c r="G16" s="80" t="inlineStr">
        <is>
          <t>May 2025</t>
        </is>
      </c>
      <c r="H16" s="88">
        <f>IF(D16="","",IFERROR(D16/VLOOKUP(C16,Currency!$A$3:$C$7,3,FALSE()),"Enter rate"))</f>
        <v/>
      </c>
      <c r="I16" s="74" t="inlineStr">
        <is>
          <t>Meat Board of Namibia</t>
        </is>
      </c>
      <c r="J16" s="74" t="inlineStr">
        <is>
          <t>Sourced</t>
        </is>
      </c>
    </row>
    <row r="17" ht="15" customHeight="1" s="54">
      <c r="A17" s="80" t="inlineStr">
        <is>
          <t>M15|Zimbabwe</t>
        </is>
      </c>
      <c r="B17" s="80" t="inlineStr">
        <is>
          <t>Seed cotton minimum, Grade A</t>
        </is>
      </c>
      <c r="C17" s="80" t="inlineStr">
        <is>
          <t>Zimbabwe</t>
        </is>
      </c>
      <c r="D17" s="88" t="n">
        <v>0.43</v>
      </c>
      <c r="E17" s="80" t="inlineStr">
        <is>
          <t>USD</t>
        </is>
      </c>
      <c r="F17" s="80" t="inlineStr">
        <is>
          <t>kg</t>
        </is>
      </c>
      <c r="G17" s="80" t="inlineStr">
        <is>
          <t>2026</t>
        </is>
      </c>
      <c r="H17" s="88">
        <f>IF(D17="","",IFERROR(D17/VLOOKUP(C17,Currency!$A$3:$C$7,3,FALSE()),"Enter rate"))</f>
        <v/>
      </c>
      <c r="I17" s="74" t="inlineStr">
        <is>
          <t>AMA via The Herald</t>
        </is>
      </c>
      <c r="J17" s="74" t="inlineStr">
        <is>
          <t>Sourced</t>
        </is>
      </c>
    </row>
    <row r="18" ht="15" customHeight="1" s="54">
      <c r="A18" s="80" t="inlineStr">
        <is>
          <t>M19|Zimbabwe</t>
        </is>
      </c>
      <c r="B18" s="80" t="inlineStr">
        <is>
          <t>Flue-cured tobacco, season average</t>
        </is>
      </c>
      <c r="C18" s="80" t="inlineStr">
        <is>
          <t>Zimbabwe</t>
        </is>
      </c>
      <c r="D18" s="88" t="n">
        <v>2.49</v>
      </c>
      <c r="E18" s="80" t="inlineStr">
        <is>
          <t>USD</t>
        </is>
      </c>
      <c r="F18" s="80" t="inlineStr">
        <is>
          <t>kg</t>
        </is>
      </c>
      <c r="G18" s="80" t="inlineStr">
        <is>
          <t>2026</t>
        </is>
      </c>
      <c r="H18" s="88">
        <f>IF(D18="","",IFERROR(D18/VLOOKUP(C18,Currency!$A$3:$C$7,3,FALSE()),"Enter rate"))</f>
        <v/>
      </c>
      <c r="I18" s="74" t="inlineStr">
        <is>
          <t>TIMB via The Herald</t>
        </is>
      </c>
      <c r="J18" s="74" t="inlineStr">
        <is>
          <t>Sourced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F2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53" min="1" max="1"/>
    <col width="14" customWidth="1" style="53" min="2" max="2"/>
    <col width="18" customWidth="1" style="53" min="3" max="5"/>
    <col width="30" customWidth="1" style="53" min="6" max="6"/>
  </cols>
  <sheetData>
    <row r="1" ht="17.25" customHeight="1" s="54">
      <c r="A1" s="71" t="inlineStr">
        <is>
          <t>T-C-01  Land Use Planner</t>
        </is>
      </c>
    </row>
    <row r="2" ht="15" customHeight="1" s="54">
      <c r="A2" s="72" t="inlineStr">
        <is>
          <t>How to split my hectares between enterprises (Module C1).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Total land available (ha)</t>
        </is>
      </c>
      <c r="B5" s="89">
        <f>Settings!B8</f>
        <v/>
      </c>
    </row>
    <row r="6" ht="15" customHeight="1" s="54">
      <c r="A6" s="78" t="inlineStr">
        <is>
          <t>Lease value of land per ha per year (opportunity cost)</t>
        </is>
      </c>
      <c r="B6" s="90" t="n">
        <v>150</v>
      </c>
    </row>
    <row r="7"/>
    <row r="8" ht="26.25" customHeight="1" s="54">
      <c r="A8" s="73" t="inlineStr">
        <is>
          <t>Enterprise</t>
        </is>
      </c>
      <c r="B8" s="73" t="inlineStr">
        <is>
          <t>Hectares</t>
        </is>
      </c>
      <c r="C8" s="73" t="inlineStr">
        <is>
          <t>Gross margin per ha</t>
        </is>
      </c>
      <c r="D8" s="73" t="inlineStr">
        <is>
          <t>Gross margin</t>
        </is>
      </c>
      <c r="E8" s="73" t="inlineStr">
        <is>
          <t>Lease value given up</t>
        </is>
      </c>
      <c r="F8" s="73" t="inlineStr">
        <is>
          <t>Beats leasing out?</t>
        </is>
      </c>
    </row>
    <row r="9" ht="15" customHeight="1" s="54">
      <c r="A9" s="79" t="inlineStr">
        <is>
          <t>Seed maize under contract</t>
        </is>
      </c>
      <c r="B9" s="81" t="n">
        <v>1</v>
      </c>
      <c r="C9" s="79" t="n">
        <v>920</v>
      </c>
      <c r="D9" s="88">
        <f>IF(B9="","",B9*C9)</f>
        <v/>
      </c>
      <c r="E9" s="88">
        <f>IF(B9="","",B9*$B$6)</f>
        <v/>
      </c>
      <c r="F9" s="80">
        <f>IF(B9="","",IF(C9&gt;$B$6,"Yes","No - lease value is higher"))</f>
        <v/>
      </c>
    </row>
    <row r="10" ht="15" customHeight="1" s="54">
      <c r="A10" s="79" t="inlineStr">
        <is>
          <t>Broilers and layers (shed area)</t>
        </is>
      </c>
      <c r="B10" s="81" t="n">
        <v>0.1</v>
      </c>
      <c r="C10" s="79" t="n">
        <v>9000</v>
      </c>
      <c r="D10" s="88">
        <f>IF(B10="","",B10*C10)</f>
        <v/>
      </c>
      <c r="E10" s="88">
        <f>IF(B10="","",B10*$B$6)</f>
        <v/>
      </c>
      <c r="F10" s="80">
        <f>IF(B10="","",IF(C10&gt;$B$6,"Yes","No - lease value is higher"))</f>
        <v/>
      </c>
    </row>
    <row r="11" ht="15" customHeight="1" s="54">
      <c r="A11" s="79" t="inlineStr">
        <is>
          <t>Fresh vegetables under drip</t>
        </is>
      </c>
      <c r="B11" s="81" t="n">
        <v>0.5</v>
      </c>
      <c r="C11" s="79" t="n">
        <v>2400</v>
      </c>
      <c r="D11" s="88">
        <f>IF(B11="","",B11*C11)</f>
        <v/>
      </c>
      <c r="E11" s="88">
        <f>IF(B11="","",B11*$B$6)</f>
        <v/>
      </c>
      <c r="F11" s="80">
        <f>IF(B11="","",IF(C11&gt;$B$6,"Yes","No - lease value is higher"))</f>
        <v/>
      </c>
    </row>
    <row r="12" ht="15" customHeight="1" s="54">
      <c r="A12" s="79" t="inlineStr">
        <is>
          <t>Fallow or grazing</t>
        </is>
      </c>
      <c r="B12" s="81" t="n">
        <v>0.4</v>
      </c>
      <c r="C12" s="79" t="n">
        <v>0</v>
      </c>
      <c r="D12" s="88">
        <f>IF(B12="","",B12*C12)</f>
        <v/>
      </c>
      <c r="E12" s="88">
        <f>IF(B12="","",B12*$B$6)</f>
        <v/>
      </c>
      <c r="F12" s="80">
        <f>IF(B12="","",IF(C12&gt;$B$6,"Yes","No - lease value is higher"))</f>
        <v/>
      </c>
    </row>
    <row r="13" ht="15" customHeight="1" s="54">
      <c r="A13" s="79" t="n"/>
      <c r="B13" s="81" t="n"/>
      <c r="C13" s="79" t="n"/>
      <c r="D13" s="88">
        <f>IF(B13="","",B13*C13)</f>
        <v/>
      </c>
      <c r="E13" s="88">
        <f>IF(B13="","",B13*$B$6)</f>
        <v/>
      </c>
      <c r="F13" s="80">
        <f>IF(B13="","",IF(C13&gt;$B$6,"Yes","No - lease value is higher"))</f>
        <v/>
      </c>
    </row>
    <row r="14" ht="15" customHeight="1" s="54">
      <c r="A14" s="79" t="n"/>
      <c r="B14" s="81" t="n"/>
      <c r="C14" s="79" t="n"/>
      <c r="D14" s="88">
        <f>IF(B14="","",B14*C14)</f>
        <v/>
      </c>
      <c r="E14" s="88">
        <f>IF(B14="","",B14*$B$6)</f>
        <v/>
      </c>
      <c r="F14" s="80">
        <f>IF(B14="","",IF(C14&gt;$B$6,"Yes","No - lease value is higher"))</f>
        <v/>
      </c>
    </row>
    <row r="15"/>
    <row r="16" ht="15" customHeight="1" s="54">
      <c r="A16" s="91" t="inlineStr">
        <is>
          <t>Hectares allocated</t>
        </is>
      </c>
      <c r="B16" s="92">
        <f>SUM(B9:B14)</f>
        <v/>
      </c>
    </row>
    <row r="17" ht="15" customHeight="1" s="54">
      <c r="A17" s="78" t="inlineStr">
        <is>
          <t>Hectares left unallocated</t>
        </is>
      </c>
      <c r="B17" s="89">
        <f>B5-B16</f>
        <v/>
      </c>
    </row>
    <row r="18" ht="15" customHeight="1" s="54">
      <c r="A18" s="91" t="inlineStr">
        <is>
          <t>Total gross margin per year</t>
        </is>
      </c>
      <c r="B18" s="93">
        <f>SUM(D9:D14)</f>
        <v/>
      </c>
    </row>
    <row r="19" ht="15" customHeight="1" s="54">
      <c r="A19" s="78" t="inlineStr">
        <is>
          <t>Value if all land were leased out</t>
        </is>
      </c>
      <c r="B19" s="88">
        <f>B5*B6</f>
        <v/>
      </c>
    </row>
    <row r="20" ht="15" customHeight="1" s="54">
      <c r="A20" s="78" t="inlineStr">
        <is>
          <t>Check</t>
        </is>
      </c>
      <c r="B20" s="80">
        <f>IF(B16&gt;B5,"Over-allocated - you have more hectares planned than you own",IF(B18&gt;B19,"The plan beats leasing the land out","The plan earns less than leasing out - redesign it"))</f>
        <v/>
      </c>
    </row>
    <row r="21"/>
    <row r="22" ht="15" customHeight="1" s="54">
      <c r="A22" s="76" t="inlineStr">
        <is>
          <t>Take each gross margin per hectare from the Enterprise Budget for that activity.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D2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53" min="1" max="1"/>
    <col width="16" customWidth="1" style="53" min="2" max="2"/>
    <col width="14" customWidth="1" style="53" min="3" max="3"/>
    <col width="18" customWidth="1" style="53" min="4" max="4"/>
    <col width="22" customWidth="1" style="53" min="5" max="5"/>
  </cols>
  <sheetData>
    <row r="1" ht="17.25" customHeight="1" s="54">
      <c r="A1" s="71" t="inlineStr">
        <is>
          <t>T-C-02  Start-Up Capital Calculator</t>
        </is>
      </c>
    </row>
    <row r="2" ht="15" customHeight="1" s="54">
      <c r="A2" s="72" t="inlineStr">
        <is>
          <t>What it costs to get going (Module C2).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94" t="inlineStr">
        <is>
          <t>Take this step: register the venture and set up its books with Moeletsi Africa.</t>
        </is>
      </c>
    </row>
    <row r="5" ht="15" customHeight="1" s="54">
      <c r="A5" s="77" t="inlineStr">
        <is>
          <t>Fixed investment</t>
        </is>
      </c>
    </row>
    <row r="6" ht="26.25" customHeight="1" s="54">
      <c r="A6" s="73" t="inlineStr">
        <is>
          <t>Item</t>
        </is>
      </c>
      <c r="B6" s="73" t="inlineStr">
        <is>
          <t>Cost</t>
        </is>
      </c>
      <c r="C6" s="73" t="inlineStr">
        <is>
          <t>Working life (years)</t>
        </is>
      </c>
      <c r="D6" s="73" t="inlineStr">
        <is>
          <t>Depreciation per year</t>
        </is>
      </c>
    </row>
    <row r="7" ht="15" customHeight="1" s="54">
      <c r="A7" s="79" t="inlineStr">
        <is>
          <t>Fencing</t>
        </is>
      </c>
      <c r="B7" s="79" t="n">
        <v>1800</v>
      </c>
      <c r="C7" s="95" t="n">
        <v>10</v>
      </c>
      <c r="D7" s="88">
        <f>IF(OR(B7="",C7=""),"",B7/C7)</f>
        <v/>
      </c>
    </row>
    <row r="8" ht="15" customHeight="1" s="54">
      <c r="A8" s="79" t="inlineStr">
        <is>
          <t>Borehole and pump</t>
        </is>
      </c>
      <c r="B8" s="79" t="n">
        <v>4500</v>
      </c>
      <c r="C8" s="95" t="n">
        <v>15</v>
      </c>
      <c r="D8" s="88">
        <f>IF(OR(B8="",C8=""),"",B8/C8)</f>
        <v/>
      </c>
    </row>
    <row r="9" ht="15" customHeight="1" s="54">
      <c r="A9" s="79" t="inlineStr">
        <is>
          <t>Drip irrigation (0.5 ha)</t>
        </is>
      </c>
      <c r="B9" s="79" t="n">
        <v>2200</v>
      </c>
      <c r="C9" s="95" t="n">
        <v>8</v>
      </c>
      <c r="D9" s="88">
        <f>IF(OR(B9="",C9=""),"",B9/C9)</f>
        <v/>
      </c>
    </row>
    <row r="10" ht="15" customHeight="1" s="54">
      <c r="A10" s="79" t="inlineStr">
        <is>
          <t>Poultry shed (300 birds)</t>
        </is>
      </c>
      <c r="B10" s="79" t="n">
        <v>3000</v>
      </c>
      <c r="C10" s="95" t="n">
        <v>10</v>
      </c>
      <c r="D10" s="88">
        <f>IF(OR(B10="",C10=""),"",B10/C10)</f>
        <v/>
      </c>
    </row>
    <row r="11" ht="15" customHeight="1" s="54">
      <c r="A11" s="79" t="inlineStr">
        <is>
          <t>Small tools and equipment</t>
        </is>
      </c>
      <c r="B11" s="79" t="n">
        <v>600</v>
      </c>
      <c r="C11" s="95" t="n">
        <v>5</v>
      </c>
      <c r="D11" s="88">
        <f>IF(OR(B11="",C11=""),"",B11/C11)</f>
        <v/>
      </c>
    </row>
    <row r="12" ht="15" customHeight="1" s="54">
      <c r="A12" s="79" t="n"/>
      <c r="B12" s="79" t="n"/>
      <c r="C12" s="95" t="n"/>
      <c r="D12" s="88">
        <f>IF(OR(B12="",C12=""),"",B12/C12)</f>
        <v/>
      </c>
    </row>
    <row r="13" ht="15" customHeight="1" s="54">
      <c r="A13" s="79" t="n"/>
      <c r="B13" s="79" t="n"/>
      <c r="C13" s="95" t="n"/>
      <c r="D13" s="88">
        <f>IF(OR(B13="",C13=""),"",B13/C13)</f>
        <v/>
      </c>
    </row>
    <row r="14" ht="15" customHeight="1" s="54">
      <c r="A14" s="79" t="n"/>
      <c r="B14" s="79" t="n"/>
      <c r="C14" s="95" t="n"/>
      <c r="D14" s="88">
        <f>IF(OR(B14="",C14=""),"",B14/C14)</f>
        <v/>
      </c>
    </row>
    <row r="15" ht="15" customHeight="1" s="54">
      <c r="A15" s="91" t="inlineStr">
        <is>
          <t>Total fixed investment</t>
        </is>
      </c>
      <c r="B15" s="93">
        <f>SUM(B7:B14)</f>
        <v/>
      </c>
    </row>
    <row r="16" ht="15" customHeight="1" s="54">
      <c r="A16" s="78" t="inlineStr">
        <is>
          <t>Total depreciation per year</t>
        </is>
      </c>
      <c r="B16" s="88">
        <f>SUM(D7:D14)</f>
        <v/>
      </c>
    </row>
    <row r="17"/>
    <row r="18" ht="15" customHeight="1" s="54">
      <c r="A18" s="77" t="inlineStr">
        <is>
          <t>Working capital</t>
        </is>
      </c>
    </row>
    <row r="19" ht="15" customHeight="1" s="54">
      <c r="A19" s="78" t="inlineStr">
        <is>
          <t>Monthly running costs before first sale</t>
        </is>
      </c>
      <c r="B19" s="90" t="n">
        <v>650</v>
      </c>
    </row>
    <row r="20" ht="15" customHeight="1" s="54">
      <c r="A20" s="78" t="inlineStr">
        <is>
          <t>Months until first sales income arrives</t>
        </is>
      </c>
      <c r="B20" s="95" t="n">
        <v>3</v>
      </c>
    </row>
    <row r="21" ht="15" customHeight="1" s="54">
      <c r="A21" s="78" t="inlineStr">
        <is>
          <t>Safety margin (%)</t>
        </is>
      </c>
      <c r="B21" s="96" t="n">
        <v>0.2</v>
      </c>
    </row>
    <row r="22" ht="15" customHeight="1" s="54">
      <c r="A22" s="91" t="inlineStr">
        <is>
          <t>Working capital needed</t>
        </is>
      </c>
      <c r="B22" s="93">
        <f>B19*B20*(1+B21)</f>
        <v/>
      </c>
    </row>
    <row r="23"/>
    <row r="24" ht="15" customHeight="1" s="54">
      <c r="A24" s="91" t="inlineStr">
        <is>
          <t>TOTAL START-UP CAPITAL</t>
        </is>
      </c>
      <c r="B24" s="93">
        <f>B15+B22</f>
        <v/>
      </c>
    </row>
    <row r="25" ht="15" customHeight="1" s="54">
      <c r="A25" s="78" t="inlineStr">
        <is>
          <t>Own funds available</t>
        </is>
      </c>
      <c r="B25" s="90" t="n">
        <v>4000</v>
      </c>
    </row>
    <row r="26" ht="15" customHeight="1" s="54">
      <c r="A26" s="91" t="inlineStr">
        <is>
          <t>Funding gap (loan, grant or partner)</t>
        </is>
      </c>
      <c r="B26" s="93">
        <f>MAX(0,B24-B25)</f>
        <v/>
      </c>
    </row>
    <row r="27" ht="15" customHeight="1" s="54">
      <c r="A27" s="78" t="inlineStr">
        <is>
          <t>Payback period (years) at the plan's gross margin</t>
        </is>
      </c>
      <c r="B27" s="97">
        <f>IFERROR(B24/('T-C-01 Land Use'!B18-B16),"n/a")</f>
        <v/>
      </c>
    </row>
  </sheetData>
  <hyperlinks>
    <hyperlink xmlns:r="http://schemas.openxmlformats.org/officeDocument/2006/relationships" ref="A4" display="Take this step: register the venture and set up its books with Moeletsi Africa.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2"/>
</worksheet>
</file>

<file path=xl/worksheets/sheet9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F7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53" min="1" max="1"/>
    <col width="14" customWidth="1" style="53" min="2" max="5"/>
    <col width="16" customWidth="1" style="53" min="6" max="6"/>
  </cols>
  <sheetData>
    <row r="1" ht="17.25" customHeight="1" s="54">
      <c r="A1" s="71" t="inlineStr">
        <is>
          <t>T-C-03  Loan Repayment Calculator</t>
        </is>
      </c>
    </row>
    <row r="2" ht="15" customHeight="1" s="54">
      <c r="A2" s="72" t="inlineStr">
        <is>
          <t>What a loan really costs each month (Module C2).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94" t="inlineStr">
        <is>
          <t>Take this step: turn these numbers into a funder-ready business plan with Moeletsi Africa.</t>
        </is>
      </c>
    </row>
    <row r="5" ht="15" customHeight="1" s="54">
      <c r="A5" s="78" t="inlineStr">
        <is>
          <t>Loan amount</t>
        </is>
      </c>
      <c r="B5" s="88">
        <f>'T-C-02 Start-Up Capital'!B26</f>
        <v/>
      </c>
    </row>
    <row r="6" ht="15" customHeight="1" s="54">
      <c r="A6" s="78" t="inlineStr">
        <is>
          <t>Interest rate per year (%)</t>
        </is>
      </c>
      <c r="B6" s="98" t="n">
        <v>0.18</v>
      </c>
    </row>
    <row r="7" ht="15" customHeight="1" s="54">
      <c r="A7" s="78" t="inlineStr">
        <is>
          <t>Term (months)</t>
        </is>
      </c>
      <c r="B7" s="95" t="n">
        <v>36</v>
      </c>
    </row>
    <row r="8" ht="15" customHeight="1" s="54">
      <c r="A8" s="78" t="inlineStr">
        <is>
          <t>Grace period before first repayment (months)</t>
        </is>
      </c>
      <c r="B8" s="95" t="n">
        <v>0</v>
      </c>
    </row>
    <row r="9" ht="15" customHeight="1" s="54">
      <c r="A9" s="91" t="inlineStr">
        <is>
          <t>Monthly repayment</t>
        </is>
      </c>
      <c r="B9" s="93">
        <f>IFERROR(PMT(B6/12,B7-B8,-B5*(1+B6/12)^B8),0)</f>
        <v/>
      </c>
    </row>
    <row r="10" ht="15" customHeight="1" s="54">
      <c r="A10" s="78" t="inlineStr">
        <is>
          <t>Total repaid</t>
        </is>
      </c>
      <c r="B10" s="88">
        <f>B9*(B7-B8)</f>
        <v/>
      </c>
    </row>
    <row r="11" ht="15" customHeight="1" s="54">
      <c r="A11" s="91" t="inlineStr">
        <is>
          <t>Total interest cost</t>
        </is>
      </c>
      <c r="B11" s="93">
        <f>B10-B5</f>
        <v/>
      </c>
    </row>
    <row r="12" ht="15" customHeight="1" s="54">
      <c r="A12" s="78" t="inlineStr">
        <is>
          <t>Interest as share of the loan</t>
        </is>
      </c>
      <c r="B12" s="99">
        <f>IFERROR(B11/B5,0)</f>
        <v/>
      </c>
    </row>
    <row r="13"/>
    <row r="14" ht="26.25" customHeight="1" s="54">
      <c r="A14" s="73" t="inlineStr">
        <is>
          <t>Month</t>
        </is>
      </c>
      <c r="B14" s="73" t="inlineStr">
        <is>
          <t>Opening balance</t>
        </is>
      </c>
      <c r="C14" s="73" t="inlineStr">
        <is>
          <t>Interest</t>
        </is>
      </c>
      <c r="D14" s="73" t="inlineStr">
        <is>
          <t>Repayment</t>
        </is>
      </c>
      <c r="E14" s="73" t="inlineStr">
        <is>
          <t>Principal</t>
        </is>
      </c>
      <c r="F14" s="73" t="inlineStr">
        <is>
          <t>Closing balance</t>
        </is>
      </c>
    </row>
    <row r="15" ht="15" customHeight="1" s="54">
      <c r="A15" s="78" t="n">
        <v>1</v>
      </c>
      <c r="B15" s="88">
        <f>B5</f>
        <v/>
      </c>
      <c r="C15" s="88">
        <f>IF(A15&gt;$B$7,0,B15*$B$6/12)</f>
        <v/>
      </c>
      <c r="D15" s="88">
        <f>IF(OR(A15&lt;=$B$8,A15&gt;$B$7),0,$B$9)</f>
        <v/>
      </c>
      <c r="E15" s="88">
        <f>D15-C15</f>
        <v/>
      </c>
      <c r="F15" s="88">
        <f>MAX(0,B15-E15)</f>
        <v/>
      </c>
    </row>
    <row r="16" ht="15" customHeight="1" s="54">
      <c r="A16" s="78" t="n">
        <v>2</v>
      </c>
      <c r="B16" s="88">
        <f>F15</f>
        <v/>
      </c>
      <c r="C16" s="88">
        <f>IF(A16&gt;$B$7,0,B16*$B$6/12)</f>
        <v/>
      </c>
      <c r="D16" s="88">
        <f>IF(OR(A16&lt;=$B$8,A16&gt;$B$7),0,$B$9)</f>
        <v/>
      </c>
      <c r="E16" s="88">
        <f>D16-C16</f>
        <v/>
      </c>
      <c r="F16" s="88">
        <f>MAX(0,B16-E16)</f>
        <v/>
      </c>
    </row>
    <row r="17" ht="15" customHeight="1" s="54">
      <c r="A17" s="78" t="n">
        <v>3</v>
      </c>
      <c r="B17" s="88">
        <f>F16</f>
        <v/>
      </c>
      <c r="C17" s="88">
        <f>IF(A17&gt;$B$7,0,B17*$B$6/12)</f>
        <v/>
      </c>
      <c r="D17" s="88">
        <f>IF(OR(A17&lt;=$B$8,A17&gt;$B$7),0,$B$9)</f>
        <v/>
      </c>
      <c r="E17" s="88">
        <f>D17-C17</f>
        <v/>
      </c>
      <c r="F17" s="88">
        <f>MAX(0,B17-E17)</f>
        <v/>
      </c>
    </row>
    <row r="18" ht="15" customHeight="1" s="54">
      <c r="A18" s="78" t="n">
        <v>4</v>
      </c>
      <c r="B18" s="88">
        <f>F17</f>
        <v/>
      </c>
      <c r="C18" s="88">
        <f>IF(A18&gt;$B$7,0,B18*$B$6/12)</f>
        <v/>
      </c>
      <c r="D18" s="88">
        <f>IF(OR(A18&lt;=$B$8,A18&gt;$B$7),0,$B$9)</f>
        <v/>
      </c>
      <c r="E18" s="88">
        <f>D18-C18</f>
        <v/>
      </c>
      <c r="F18" s="88">
        <f>MAX(0,B18-E18)</f>
        <v/>
      </c>
    </row>
    <row r="19" ht="15" customHeight="1" s="54">
      <c r="A19" s="78" t="n">
        <v>5</v>
      </c>
      <c r="B19" s="88">
        <f>F18</f>
        <v/>
      </c>
      <c r="C19" s="88">
        <f>IF(A19&gt;$B$7,0,B19*$B$6/12)</f>
        <v/>
      </c>
      <c r="D19" s="88">
        <f>IF(OR(A19&lt;=$B$8,A19&gt;$B$7),0,$B$9)</f>
        <v/>
      </c>
      <c r="E19" s="88">
        <f>D19-C19</f>
        <v/>
      </c>
      <c r="F19" s="88">
        <f>MAX(0,B19-E19)</f>
        <v/>
      </c>
    </row>
    <row r="20" ht="15" customHeight="1" s="54">
      <c r="A20" s="78" t="n">
        <v>6</v>
      </c>
      <c r="B20" s="88">
        <f>F19</f>
        <v/>
      </c>
      <c r="C20" s="88">
        <f>IF(A20&gt;$B$7,0,B20*$B$6/12)</f>
        <v/>
      </c>
      <c r="D20" s="88">
        <f>IF(OR(A20&lt;=$B$8,A20&gt;$B$7),0,$B$9)</f>
        <v/>
      </c>
      <c r="E20" s="88">
        <f>D20-C20</f>
        <v/>
      </c>
      <c r="F20" s="88">
        <f>MAX(0,B20-E20)</f>
        <v/>
      </c>
    </row>
    <row r="21" ht="15" customHeight="1" s="54">
      <c r="A21" s="78" t="n">
        <v>7</v>
      </c>
      <c r="B21" s="88">
        <f>F20</f>
        <v/>
      </c>
      <c r="C21" s="88">
        <f>IF(A21&gt;$B$7,0,B21*$B$6/12)</f>
        <v/>
      </c>
      <c r="D21" s="88">
        <f>IF(OR(A21&lt;=$B$8,A21&gt;$B$7),0,$B$9)</f>
        <v/>
      </c>
      <c r="E21" s="88">
        <f>D21-C21</f>
        <v/>
      </c>
      <c r="F21" s="88">
        <f>MAX(0,B21-E21)</f>
        <v/>
      </c>
    </row>
    <row r="22" ht="15" customHeight="1" s="54">
      <c r="A22" s="78" t="n">
        <v>8</v>
      </c>
      <c r="B22" s="88">
        <f>F21</f>
        <v/>
      </c>
      <c r="C22" s="88">
        <f>IF(A22&gt;$B$7,0,B22*$B$6/12)</f>
        <v/>
      </c>
      <c r="D22" s="88">
        <f>IF(OR(A22&lt;=$B$8,A22&gt;$B$7),0,$B$9)</f>
        <v/>
      </c>
      <c r="E22" s="88">
        <f>D22-C22</f>
        <v/>
      </c>
      <c r="F22" s="88">
        <f>MAX(0,B22-E22)</f>
        <v/>
      </c>
    </row>
    <row r="23" ht="15" customHeight="1" s="54">
      <c r="A23" s="78" t="n">
        <v>9</v>
      </c>
      <c r="B23" s="88">
        <f>F22</f>
        <v/>
      </c>
      <c r="C23" s="88">
        <f>IF(A23&gt;$B$7,0,B23*$B$6/12)</f>
        <v/>
      </c>
      <c r="D23" s="88">
        <f>IF(OR(A23&lt;=$B$8,A23&gt;$B$7),0,$B$9)</f>
        <v/>
      </c>
      <c r="E23" s="88">
        <f>D23-C23</f>
        <v/>
      </c>
      <c r="F23" s="88">
        <f>MAX(0,B23-E23)</f>
        <v/>
      </c>
    </row>
    <row r="24" ht="15" customHeight="1" s="54">
      <c r="A24" s="78" t="n">
        <v>10</v>
      </c>
      <c r="B24" s="88">
        <f>F23</f>
        <v/>
      </c>
      <c r="C24" s="88">
        <f>IF(A24&gt;$B$7,0,B24*$B$6/12)</f>
        <v/>
      </c>
      <c r="D24" s="88">
        <f>IF(OR(A24&lt;=$B$8,A24&gt;$B$7),0,$B$9)</f>
        <v/>
      </c>
      <c r="E24" s="88">
        <f>D24-C24</f>
        <v/>
      </c>
      <c r="F24" s="88">
        <f>MAX(0,B24-E24)</f>
        <v/>
      </c>
    </row>
    <row r="25" ht="15" customHeight="1" s="54">
      <c r="A25" s="78" t="n">
        <v>11</v>
      </c>
      <c r="B25" s="88">
        <f>F24</f>
        <v/>
      </c>
      <c r="C25" s="88">
        <f>IF(A25&gt;$B$7,0,B25*$B$6/12)</f>
        <v/>
      </c>
      <c r="D25" s="88">
        <f>IF(OR(A25&lt;=$B$8,A25&gt;$B$7),0,$B$9)</f>
        <v/>
      </c>
      <c r="E25" s="88">
        <f>D25-C25</f>
        <v/>
      </c>
      <c r="F25" s="88">
        <f>MAX(0,B25-E25)</f>
        <v/>
      </c>
    </row>
    <row r="26" ht="15" customHeight="1" s="54">
      <c r="A26" s="78" t="n">
        <v>12</v>
      </c>
      <c r="B26" s="88">
        <f>F25</f>
        <v/>
      </c>
      <c r="C26" s="88">
        <f>IF(A26&gt;$B$7,0,B26*$B$6/12)</f>
        <v/>
      </c>
      <c r="D26" s="88">
        <f>IF(OR(A26&lt;=$B$8,A26&gt;$B$7),0,$B$9)</f>
        <v/>
      </c>
      <c r="E26" s="88">
        <f>D26-C26</f>
        <v/>
      </c>
      <c r="F26" s="88">
        <f>MAX(0,B26-E26)</f>
        <v/>
      </c>
    </row>
    <row r="27" ht="15" customHeight="1" s="54">
      <c r="A27" s="78" t="n">
        <v>13</v>
      </c>
      <c r="B27" s="88">
        <f>F26</f>
        <v/>
      </c>
      <c r="C27" s="88">
        <f>IF(A27&gt;$B$7,0,B27*$B$6/12)</f>
        <v/>
      </c>
      <c r="D27" s="88">
        <f>IF(OR(A27&lt;=$B$8,A27&gt;$B$7),0,$B$9)</f>
        <v/>
      </c>
      <c r="E27" s="88">
        <f>D27-C27</f>
        <v/>
      </c>
      <c r="F27" s="88">
        <f>MAX(0,B27-E27)</f>
        <v/>
      </c>
    </row>
    <row r="28" ht="15" customHeight="1" s="54">
      <c r="A28" s="78" t="n">
        <v>14</v>
      </c>
      <c r="B28" s="88">
        <f>F27</f>
        <v/>
      </c>
      <c r="C28" s="88">
        <f>IF(A28&gt;$B$7,0,B28*$B$6/12)</f>
        <v/>
      </c>
      <c r="D28" s="88">
        <f>IF(OR(A28&lt;=$B$8,A28&gt;$B$7),0,$B$9)</f>
        <v/>
      </c>
      <c r="E28" s="88">
        <f>D28-C28</f>
        <v/>
      </c>
      <c r="F28" s="88">
        <f>MAX(0,B28-E28)</f>
        <v/>
      </c>
    </row>
    <row r="29" ht="15" customHeight="1" s="54">
      <c r="A29" s="78" t="n">
        <v>15</v>
      </c>
      <c r="B29" s="88">
        <f>F28</f>
        <v/>
      </c>
      <c r="C29" s="88">
        <f>IF(A29&gt;$B$7,0,B29*$B$6/12)</f>
        <v/>
      </c>
      <c r="D29" s="88">
        <f>IF(OR(A29&lt;=$B$8,A29&gt;$B$7),0,$B$9)</f>
        <v/>
      </c>
      <c r="E29" s="88">
        <f>D29-C29</f>
        <v/>
      </c>
      <c r="F29" s="88">
        <f>MAX(0,B29-E29)</f>
        <v/>
      </c>
    </row>
    <row r="30" ht="15" customHeight="1" s="54">
      <c r="A30" s="78" t="n">
        <v>16</v>
      </c>
      <c r="B30" s="88">
        <f>F29</f>
        <v/>
      </c>
      <c r="C30" s="88">
        <f>IF(A30&gt;$B$7,0,B30*$B$6/12)</f>
        <v/>
      </c>
      <c r="D30" s="88">
        <f>IF(OR(A30&lt;=$B$8,A30&gt;$B$7),0,$B$9)</f>
        <v/>
      </c>
      <c r="E30" s="88">
        <f>D30-C30</f>
        <v/>
      </c>
      <c r="F30" s="88">
        <f>MAX(0,B30-E30)</f>
        <v/>
      </c>
    </row>
    <row r="31" ht="15" customHeight="1" s="54">
      <c r="A31" s="78" t="n">
        <v>17</v>
      </c>
      <c r="B31" s="88">
        <f>F30</f>
        <v/>
      </c>
      <c r="C31" s="88">
        <f>IF(A31&gt;$B$7,0,B31*$B$6/12)</f>
        <v/>
      </c>
      <c r="D31" s="88">
        <f>IF(OR(A31&lt;=$B$8,A31&gt;$B$7),0,$B$9)</f>
        <v/>
      </c>
      <c r="E31" s="88">
        <f>D31-C31</f>
        <v/>
      </c>
      <c r="F31" s="88">
        <f>MAX(0,B31-E31)</f>
        <v/>
      </c>
    </row>
    <row r="32" ht="15" customHeight="1" s="54">
      <c r="A32" s="78" t="n">
        <v>18</v>
      </c>
      <c r="B32" s="88">
        <f>F31</f>
        <v/>
      </c>
      <c r="C32" s="88">
        <f>IF(A32&gt;$B$7,0,B32*$B$6/12)</f>
        <v/>
      </c>
      <c r="D32" s="88">
        <f>IF(OR(A32&lt;=$B$8,A32&gt;$B$7),0,$B$9)</f>
        <v/>
      </c>
      <c r="E32" s="88">
        <f>D32-C32</f>
        <v/>
      </c>
      <c r="F32" s="88">
        <f>MAX(0,B32-E32)</f>
        <v/>
      </c>
    </row>
    <row r="33" ht="15" customHeight="1" s="54">
      <c r="A33" s="78" t="n">
        <v>19</v>
      </c>
      <c r="B33" s="88">
        <f>F32</f>
        <v/>
      </c>
      <c r="C33" s="88">
        <f>IF(A33&gt;$B$7,0,B33*$B$6/12)</f>
        <v/>
      </c>
      <c r="D33" s="88">
        <f>IF(OR(A33&lt;=$B$8,A33&gt;$B$7),0,$B$9)</f>
        <v/>
      </c>
      <c r="E33" s="88">
        <f>D33-C33</f>
        <v/>
      </c>
      <c r="F33" s="88">
        <f>MAX(0,B33-E33)</f>
        <v/>
      </c>
    </row>
    <row r="34" ht="15" customHeight="1" s="54">
      <c r="A34" s="78" t="n">
        <v>20</v>
      </c>
      <c r="B34" s="88">
        <f>F33</f>
        <v/>
      </c>
      <c r="C34" s="88">
        <f>IF(A34&gt;$B$7,0,B34*$B$6/12)</f>
        <v/>
      </c>
      <c r="D34" s="88">
        <f>IF(OR(A34&lt;=$B$8,A34&gt;$B$7),0,$B$9)</f>
        <v/>
      </c>
      <c r="E34" s="88">
        <f>D34-C34</f>
        <v/>
      </c>
      <c r="F34" s="88">
        <f>MAX(0,B34-E34)</f>
        <v/>
      </c>
    </row>
    <row r="35" ht="15" customHeight="1" s="54">
      <c r="A35" s="78" t="n">
        <v>21</v>
      </c>
      <c r="B35" s="88">
        <f>F34</f>
        <v/>
      </c>
      <c r="C35" s="88">
        <f>IF(A35&gt;$B$7,0,B35*$B$6/12)</f>
        <v/>
      </c>
      <c r="D35" s="88">
        <f>IF(OR(A35&lt;=$B$8,A35&gt;$B$7),0,$B$9)</f>
        <v/>
      </c>
      <c r="E35" s="88">
        <f>D35-C35</f>
        <v/>
      </c>
      <c r="F35" s="88">
        <f>MAX(0,B35-E35)</f>
        <v/>
      </c>
    </row>
    <row r="36" ht="15" customHeight="1" s="54">
      <c r="A36" s="78" t="n">
        <v>22</v>
      </c>
      <c r="B36" s="88">
        <f>F35</f>
        <v/>
      </c>
      <c r="C36" s="88">
        <f>IF(A36&gt;$B$7,0,B36*$B$6/12)</f>
        <v/>
      </c>
      <c r="D36" s="88">
        <f>IF(OR(A36&lt;=$B$8,A36&gt;$B$7),0,$B$9)</f>
        <v/>
      </c>
      <c r="E36" s="88">
        <f>D36-C36</f>
        <v/>
      </c>
      <c r="F36" s="88">
        <f>MAX(0,B36-E36)</f>
        <v/>
      </c>
    </row>
    <row r="37" ht="15" customHeight="1" s="54">
      <c r="A37" s="78" t="n">
        <v>23</v>
      </c>
      <c r="B37" s="88">
        <f>F36</f>
        <v/>
      </c>
      <c r="C37" s="88">
        <f>IF(A37&gt;$B$7,0,B37*$B$6/12)</f>
        <v/>
      </c>
      <c r="D37" s="88">
        <f>IF(OR(A37&lt;=$B$8,A37&gt;$B$7),0,$B$9)</f>
        <v/>
      </c>
      <c r="E37" s="88">
        <f>D37-C37</f>
        <v/>
      </c>
      <c r="F37" s="88">
        <f>MAX(0,B37-E37)</f>
        <v/>
      </c>
    </row>
    <row r="38" ht="15" customHeight="1" s="54">
      <c r="A38" s="78" t="n">
        <v>24</v>
      </c>
      <c r="B38" s="88">
        <f>F37</f>
        <v/>
      </c>
      <c r="C38" s="88">
        <f>IF(A38&gt;$B$7,0,B38*$B$6/12)</f>
        <v/>
      </c>
      <c r="D38" s="88">
        <f>IF(OR(A38&lt;=$B$8,A38&gt;$B$7),0,$B$9)</f>
        <v/>
      </c>
      <c r="E38" s="88">
        <f>D38-C38</f>
        <v/>
      </c>
      <c r="F38" s="88">
        <f>MAX(0,B38-E38)</f>
        <v/>
      </c>
    </row>
    <row r="39" ht="15" customHeight="1" s="54">
      <c r="A39" s="78" t="n">
        <v>25</v>
      </c>
      <c r="B39" s="88">
        <f>F38</f>
        <v/>
      </c>
      <c r="C39" s="88">
        <f>IF(A39&gt;$B$7,0,B39*$B$6/12)</f>
        <v/>
      </c>
      <c r="D39" s="88">
        <f>IF(OR(A39&lt;=$B$8,A39&gt;$B$7),0,$B$9)</f>
        <v/>
      </c>
      <c r="E39" s="88">
        <f>D39-C39</f>
        <v/>
      </c>
      <c r="F39" s="88">
        <f>MAX(0,B39-E39)</f>
        <v/>
      </c>
    </row>
    <row r="40" ht="15" customHeight="1" s="54">
      <c r="A40" s="78" t="n">
        <v>26</v>
      </c>
      <c r="B40" s="88">
        <f>F39</f>
        <v/>
      </c>
      <c r="C40" s="88">
        <f>IF(A40&gt;$B$7,0,B40*$B$6/12)</f>
        <v/>
      </c>
      <c r="D40" s="88">
        <f>IF(OR(A40&lt;=$B$8,A40&gt;$B$7),0,$B$9)</f>
        <v/>
      </c>
      <c r="E40" s="88">
        <f>D40-C40</f>
        <v/>
      </c>
      <c r="F40" s="88">
        <f>MAX(0,B40-E40)</f>
        <v/>
      </c>
    </row>
    <row r="41" ht="15" customHeight="1" s="54">
      <c r="A41" s="78" t="n">
        <v>27</v>
      </c>
      <c r="B41" s="88">
        <f>F40</f>
        <v/>
      </c>
      <c r="C41" s="88">
        <f>IF(A41&gt;$B$7,0,B41*$B$6/12)</f>
        <v/>
      </c>
      <c r="D41" s="88">
        <f>IF(OR(A41&lt;=$B$8,A41&gt;$B$7),0,$B$9)</f>
        <v/>
      </c>
      <c r="E41" s="88">
        <f>D41-C41</f>
        <v/>
      </c>
      <c r="F41" s="88">
        <f>MAX(0,B41-E41)</f>
        <v/>
      </c>
    </row>
    <row r="42" ht="15" customHeight="1" s="54">
      <c r="A42" s="78" t="n">
        <v>28</v>
      </c>
      <c r="B42" s="88">
        <f>F41</f>
        <v/>
      </c>
      <c r="C42" s="88">
        <f>IF(A42&gt;$B$7,0,B42*$B$6/12)</f>
        <v/>
      </c>
      <c r="D42" s="88">
        <f>IF(OR(A42&lt;=$B$8,A42&gt;$B$7),0,$B$9)</f>
        <v/>
      </c>
      <c r="E42" s="88">
        <f>D42-C42</f>
        <v/>
      </c>
      <c r="F42" s="88">
        <f>MAX(0,B42-E42)</f>
        <v/>
      </c>
    </row>
    <row r="43" ht="15" customHeight="1" s="54">
      <c r="A43" s="78" t="n">
        <v>29</v>
      </c>
      <c r="B43" s="88">
        <f>F42</f>
        <v/>
      </c>
      <c r="C43" s="88">
        <f>IF(A43&gt;$B$7,0,B43*$B$6/12)</f>
        <v/>
      </c>
      <c r="D43" s="88">
        <f>IF(OR(A43&lt;=$B$8,A43&gt;$B$7),0,$B$9)</f>
        <v/>
      </c>
      <c r="E43" s="88">
        <f>D43-C43</f>
        <v/>
      </c>
      <c r="F43" s="88">
        <f>MAX(0,B43-E43)</f>
        <v/>
      </c>
    </row>
    <row r="44" ht="15" customHeight="1" s="54">
      <c r="A44" s="78" t="n">
        <v>30</v>
      </c>
      <c r="B44" s="88">
        <f>F43</f>
        <v/>
      </c>
      <c r="C44" s="88">
        <f>IF(A44&gt;$B$7,0,B44*$B$6/12)</f>
        <v/>
      </c>
      <c r="D44" s="88">
        <f>IF(OR(A44&lt;=$B$8,A44&gt;$B$7),0,$B$9)</f>
        <v/>
      </c>
      <c r="E44" s="88">
        <f>D44-C44</f>
        <v/>
      </c>
      <c r="F44" s="88">
        <f>MAX(0,B44-E44)</f>
        <v/>
      </c>
    </row>
    <row r="45" ht="15" customHeight="1" s="54">
      <c r="A45" s="78" t="n">
        <v>31</v>
      </c>
      <c r="B45" s="88">
        <f>F44</f>
        <v/>
      </c>
      <c r="C45" s="88">
        <f>IF(A45&gt;$B$7,0,B45*$B$6/12)</f>
        <v/>
      </c>
      <c r="D45" s="88">
        <f>IF(OR(A45&lt;=$B$8,A45&gt;$B$7),0,$B$9)</f>
        <v/>
      </c>
      <c r="E45" s="88">
        <f>D45-C45</f>
        <v/>
      </c>
      <c r="F45" s="88">
        <f>MAX(0,B45-E45)</f>
        <v/>
      </c>
    </row>
    <row r="46" ht="15" customHeight="1" s="54">
      <c r="A46" s="78" t="n">
        <v>32</v>
      </c>
      <c r="B46" s="88">
        <f>F45</f>
        <v/>
      </c>
      <c r="C46" s="88">
        <f>IF(A46&gt;$B$7,0,B46*$B$6/12)</f>
        <v/>
      </c>
      <c r="D46" s="88">
        <f>IF(OR(A46&lt;=$B$8,A46&gt;$B$7),0,$B$9)</f>
        <v/>
      </c>
      <c r="E46" s="88">
        <f>D46-C46</f>
        <v/>
      </c>
      <c r="F46" s="88">
        <f>MAX(0,B46-E46)</f>
        <v/>
      </c>
    </row>
    <row r="47" ht="15" customHeight="1" s="54">
      <c r="A47" s="78" t="n">
        <v>33</v>
      </c>
      <c r="B47" s="88">
        <f>F46</f>
        <v/>
      </c>
      <c r="C47" s="88">
        <f>IF(A47&gt;$B$7,0,B47*$B$6/12)</f>
        <v/>
      </c>
      <c r="D47" s="88">
        <f>IF(OR(A47&lt;=$B$8,A47&gt;$B$7),0,$B$9)</f>
        <v/>
      </c>
      <c r="E47" s="88">
        <f>D47-C47</f>
        <v/>
      </c>
      <c r="F47" s="88">
        <f>MAX(0,B47-E47)</f>
        <v/>
      </c>
    </row>
    <row r="48" ht="15" customHeight="1" s="54">
      <c r="A48" s="78" t="n">
        <v>34</v>
      </c>
      <c r="B48" s="88">
        <f>F47</f>
        <v/>
      </c>
      <c r="C48" s="88">
        <f>IF(A48&gt;$B$7,0,B48*$B$6/12)</f>
        <v/>
      </c>
      <c r="D48" s="88">
        <f>IF(OR(A48&lt;=$B$8,A48&gt;$B$7),0,$B$9)</f>
        <v/>
      </c>
      <c r="E48" s="88">
        <f>D48-C48</f>
        <v/>
      </c>
      <c r="F48" s="88">
        <f>MAX(0,B48-E48)</f>
        <v/>
      </c>
    </row>
    <row r="49" ht="15" customHeight="1" s="54">
      <c r="A49" s="78" t="n">
        <v>35</v>
      </c>
      <c r="B49" s="88">
        <f>F48</f>
        <v/>
      </c>
      <c r="C49" s="88">
        <f>IF(A49&gt;$B$7,0,B49*$B$6/12)</f>
        <v/>
      </c>
      <c r="D49" s="88">
        <f>IF(OR(A49&lt;=$B$8,A49&gt;$B$7),0,$B$9)</f>
        <v/>
      </c>
      <c r="E49" s="88">
        <f>D49-C49</f>
        <v/>
      </c>
      <c r="F49" s="88">
        <f>MAX(0,B49-E49)</f>
        <v/>
      </c>
    </row>
    <row r="50" ht="15" customHeight="1" s="54">
      <c r="A50" s="78" t="n">
        <v>36</v>
      </c>
      <c r="B50" s="88">
        <f>F49</f>
        <v/>
      </c>
      <c r="C50" s="88">
        <f>IF(A50&gt;$B$7,0,B50*$B$6/12)</f>
        <v/>
      </c>
      <c r="D50" s="88">
        <f>IF(OR(A50&lt;=$B$8,A50&gt;$B$7),0,$B$9)</f>
        <v/>
      </c>
      <c r="E50" s="88">
        <f>D50-C50</f>
        <v/>
      </c>
      <c r="F50" s="88">
        <f>MAX(0,B50-E50)</f>
        <v/>
      </c>
    </row>
    <row r="51" ht="15" customHeight="1" s="54">
      <c r="A51" s="78" t="n">
        <v>37</v>
      </c>
      <c r="B51" s="88">
        <f>F50</f>
        <v/>
      </c>
      <c r="C51" s="88">
        <f>IF(A51&gt;$B$7,0,B51*$B$6/12)</f>
        <v/>
      </c>
      <c r="D51" s="88">
        <f>IF(OR(A51&lt;=$B$8,A51&gt;$B$7),0,$B$9)</f>
        <v/>
      </c>
      <c r="E51" s="88">
        <f>D51-C51</f>
        <v/>
      </c>
      <c r="F51" s="88">
        <f>MAX(0,B51-E51)</f>
        <v/>
      </c>
    </row>
    <row r="52" ht="15" customHeight="1" s="54">
      <c r="A52" s="78" t="n">
        <v>38</v>
      </c>
      <c r="B52" s="88">
        <f>F51</f>
        <v/>
      </c>
      <c r="C52" s="88">
        <f>IF(A52&gt;$B$7,0,B52*$B$6/12)</f>
        <v/>
      </c>
      <c r="D52" s="88">
        <f>IF(OR(A52&lt;=$B$8,A52&gt;$B$7),0,$B$9)</f>
        <v/>
      </c>
      <c r="E52" s="88">
        <f>D52-C52</f>
        <v/>
      </c>
      <c r="F52" s="88">
        <f>MAX(0,B52-E52)</f>
        <v/>
      </c>
    </row>
    <row r="53" ht="15" customHeight="1" s="54">
      <c r="A53" s="78" t="n">
        <v>39</v>
      </c>
      <c r="B53" s="88">
        <f>F52</f>
        <v/>
      </c>
      <c r="C53" s="88">
        <f>IF(A53&gt;$B$7,0,B53*$B$6/12)</f>
        <v/>
      </c>
      <c r="D53" s="88">
        <f>IF(OR(A53&lt;=$B$8,A53&gt;$B$7),0,$B$9)</f>
        <v/>
      </c>
      <c r="E53" s="88">
        <f>D53-C53</f>
        <v/>
      </c>
      <c r="F53" s="88">
        <f>MAX(0,B53-E53)</f>
        <v/>
      </c>
    </row>
    <row r="54" ht="15" customHeight="1" s="54">
      <c r="A54" s="78" t="n">
        <v>40</v>
      </c>
      <c r="B54" s="88">
        <f>F53</f>
        <v/>
      </c>
      <c r="C54" s="88">
        <f>IF(A54&gt;$B$7,0,B54*$B$6/12)</f>
        <v/>
      </c>
      <c r="D54" s="88">
        <f>IF(OR(A54&lt;=$B$8,A54&gt;$B$7),0,$B$9)</f>
        <v/>
      </c>
      <c r="E54" s="88">
        <f>D54-C54</f>
        <v/>
      </c>
      <c r="F54" s="88">
        <f>MAX(0,B54-E54)</f>
        <v/>
      </c>
    </row>
    <row r="55" ht="15" customHeight="1" s="54">
      <c r="A55" s="78" t="n">
        <v>41</v>
      </c>
      <c r="B55" s="88">
        <f>F54</f>
        <v/>
      </c>
      <c r="C55" s="88">
        <f>IF(A55&gt;$B$7,0,B55*$B$6/12)</f>
        <v/>
      </c>
      <c r="D55" s="88">
        <f>IF(OR(A55&lt;=$B$8,A55&gt;$B$7),0,$B$9)</f>
        <v/>
      </c>
      <c r="E55" s="88">
        <f>D55-C55</f>
        <v/>
      </c>
      <c r="F55" s="88">
        <f>MAX(0,B55-E55)</f>
        <v/>
      </c>
    </row>
    <row r="56" ht="15" customHeight="1" s="54">
      <c r="A56" s="78" t="n">
        <v>42</v>
      </c>
      <c r="B56" s="88">
        <f>F55</f>
        <v/>
      </c>
      <c r="C56" s="88">
        <f>IF(A56&gt;$B$7,0,B56*$B$6/12)</f>
        <v/>
      </c>
      <c r="D56" s="88">
        <f>IF(OR(A56&lt;=$B$8,A56&gt;$B$7),0,$B$9)</f>
        <v/>
      </c>
      <c r="E56" s="88">
        <f>D56-C56</f>
        <v/>
      </c>
      <c r="F56" s="88">
        <f>MAX(0,B56-E56)</f>
        <v/>
      </c>
    </row>
    <row r="57" ht="15" customHeight="1" s="54">
      <c r="A57" s="78" t="n">
        <v>43</v>
      </c>
      <c r="B57" s="88">
        <f>F56</f>
        <v/>
      </c>
      <c r="C57" s="88">
        <f>IF(A57&gt;$B$7,0,B57*$B$6/12)</f>
        <v/>
      </c>
      <c r="D57" s="88">
        <f>IF(OR(A57&lt;=$B$8,A57&gt;$B$7),0,$B$9)</f>
        <v/>
      </c>
      <c r="E57" s="88">
        <f>D57-C57</f>
        <v/>
      </c>
      <c r="F57" s="88">
        <f>MAX(0,B57-E57)</f>
        <v/>
      </c>
    </row>
    <row r="58" ht="15" customHeight="1" s="54">
      <c r="A58" s="78" t="n">
        <v>44</v>
      </c>
      <c r="B58" s="88">
        <f>F57</f>
        <v/>
      </c>
      <c r="C58" s="88">
        <f>IF(A58&gt;$B$7,0,B58*$B$6/12)</f>
        <v/>
      </c>
      <c r="D58" s="88">
        <f>IF(OR(A58&lt;=$B$8,A58&gt;$B$7),0,$B$9)</f>
        <v/>
      </c>
      <c r="E58" s="88">
        <f>D58-C58</f>
        <v/>
      </c>
      <c r="F58" s="88">
        <f>MAX(0,B58-E58)</f>
        <v/>
      </c>
    </row>
    <row r="59" ht="15" customHeight="1" s="54">
      <c r="A59" s="78" t="n">
        <v>45</v>
      </c>
      <c r="B59" s="88">
        <f>F58</f>
        <v/>
      </c>
      <c r="C59" s="88">
        <f>IF(A59&gt;$B$7,0,B59*$B$6/12)</f>
        <v/>
      </c>
      <c r="D59" s="88">
        <f>IF(OR(A59&lt;=$B$8,A59&gt;$B$7),0,$B$9)</f>
        <v/>
      </c>
      <c r="E59" s="88">
        <f>D59-C59</f>
        <v/>
      </c>
      <c r="F59" s="88">
        <f>MAX(0,B59-E59)</f>
        <v/>
      </c>
    </row>
    <row r="60" ht="15" customHeight="1" s="54">
      <c r="A60" s="78" t="n">
        <v>46</v>
      </c>
      <c r="B60" s="88">
        <f>F59</f>
        <v/>
      </c>
      <c r="C60" s="88">
        <f>IF(A60&gt;$B$7,0,B60*$B$6/12)</f>
        <v/>
      </c>
      <c r="D60" s="88">
        <f>IF(OR(A60&lt;=$B$8,A60&gt;$B$7),0,$B$9)</f>
        <v/>
      </c>
      <c r="E60" s="88">
        <f>D60-C60</f>
        <v/>
      </c>
      <c r="F60" s="88">
        <f>MAX(0,B60-E60)</f>
        <v/>
      </c>
    </row>
    <row r="61" ht="15" customHeight="1" s="54">
      <c r="A61" s="78" t="n">
        <v>47</v>
      </c>
      <c r="B61" s="88">
        <f>F60</f>
        <v/>
      </c>
      <c r="C61" s="88">
        <f>IF(A61&gt;$B$7,0,B61*$B$6/12)</f>
        <v/>
      </c>
      <c r="D61" s="88">
        <f>IF(OR(A61&lt;=$B$8,A61&gt;$B$7),0,$B$9)</f>
        <v/>
      </c>
      <c r="E61" s="88">
        <f>D61-C61</f>
        <v/>
      </c>
      <c r="F61" s="88">
        <f>MAX(0,B61-E61)</f>
        <v/>
      </c>
    </row>
    <row r="62" ht="15" customHeight="1" s="54">
      <c r="A62" s="78" t="n">
        <v>48</v>
      </c>
      <c r="B62" s="88">
        <f>F61</f>
        <v/>
      </c>
      <c r="C62" s="88">
        <f>IF(A62&gt;$B$7,0,B62*$B$6/12)</f>
        <v/>
      </c>
      <c r="D62" s="88">
        <f>IF(OR(A62&lt;=$B$8,A62&gt;$B$7),0,$B$9)</f>
        <v/>
      </c>
      <c r="E62" s="88">
        <f>D62-C62</f>
        <v/>
      </c>
      <c r="F62" s="88">
        <f>MAX(0,B62-E62)</f>
        <v/>
      </c>
    </row>
    <row r="63" ht="15" customHeight="1" s="54">
      <c r="A63" s="78" t="n">
        <v>49</v>
      </c>
      <c r="B63" s="88">
        <f>F62</f>
        <v/>
      </c>
      <c r="C63" s="88">
        <f>IF(A63&gt;$B$7,0,B63*$B$6/12)</f>
        <v/>
      </c>
      <c r="D63" s="88">
        <f>IF(OR(A63&lt;=$B$8,A63&gt;$B$7),0,$B$9)</f>
        <v/>
      </c>
      <c r="E63" s="88">
        <f>D63-C63</f>
        <v/>
      </c>
      <c r="F63" s="88">
        <f>MAX(0,B63-E63)</f>
        <v/>
      </c>
    </row>
    <row r="64" ht="15" customHeight="1" s="54">
      <c r="A64" s="78" t="n">
        <v>50</v>
      </c>
      <c r="B64" s="88">
        <f>F63</f>
        <v/>
      </c>
      <c r="C64" s="88">
        <f>IF(A64&gt;$B$7,0,B64*$B$6/12)</f>
        <v/>
      </c>
      <c r="D64" s="88">
        <f>IF(OR(A64&lt;=$B$8,A64&gt;$B$7),0,$B$9)</f>
        <v/>
      </c>
      <c r="E64" s="88">
        <f>D64-C64</f>
        <v/>
      </c>
      <c r="F64" s="88">
        <f>MAX(0,B64-E64)</f>
        <v/>
      </c>
    </row>
    <row r="65" ht="15" customHeight="1" s="54">
      <c r="A65" s="78" t="n">
        <v>51</v>
      </c>
      <c r="B65" s="88">
        <f>F64</f>
        <v/>
      </c>
      <c r="C65" s="88">
        <f>IF(A65&gt;$B$7,0,B65*$B$6/12)</f>
        <v/>
      </c>
      <c r="D65" s="88">
        <f>IF(OR(A65&lt;=$B$8,A65&gt;$B$7),0,$B$9)</f>
        <v/>
      </c>
      <c r="E65" s="88">
        <f>D65-C65</f>
        <v/>
      </c>
      <c r="F65" s="88">
        <f>MAX(0,B65-E65)</f>
        <v/>
      </c>
    </row>
    <row r="66" ht="15" customHeight="1" s="54">
      <c r="A66" s="78" t="n">
        <v>52</v>
      </c>
      <c r="B66" s="88">
        <f>F65</f>
        <v/>
      </c>
      <c r="C66" s="88">
        <f>IF(A66&gt;$B$7,0,B66*$B$6/12)</f>
        <v/>
      </c>
      <c r="D66" s="88">
        <f>IF(OR(A66&lt;=$B$8,A66&gt;$B$7),0,$B$9)</f>
        <v/>
      </c>
      <c r="E66" s="88">
        <f>D66-C66</f>
        <v/>
      </c>
      <c r="F66" s="88">
        <f>MAX(0,B66-E66)</f>
        <v/>
      </c>
    </row>
    <row r="67" ht="15" customHeight="1" s="54">
      <c r="A67" s="78" t="n">
        <v>53</v>
      </c>
      <c r="B67" s="88">
        <f>F66</f>
        <v/>
      </c>
      <c r="C67" s="88">
        <f>IF(A67&gt;$B$7,0,B67*$B$6/12)</f>
        <v/>
      </c>
      <c r="D67" s="88">
        <f>IF(OR(A67&lt;=$B$8,A67&gt;$B$7),0,$B$9)</f>
        <v/>
      </c>
      <c r="E67" s="88">
        <f>D67-C67</f>
        <v/>
      </c>
      <c r="F67" s="88">
        <f>MAX(0,B67-E67)</f>
        <v/>
      </c>
    </row>
    <row r="68" ht="15" customHeight="1" s="54">
      <c r="A68" s="78" t="n">
        <v>54</v>
      </c>
      <c r="B68" s="88">
        <f>F67</f>
        <v/>
      </c>
      <c r="C68" s="88">
        <f>IF(A68&gt;$B$7,0,B68*$B$6/12)</f>
        <v/>
      </c>
      <c r="D68" s="88">
        <f>IF(OR(A68&lt;=$B$8,A68&gt;$B$7),0,$B$9)</f>
        <v/>
      </c>
      <c r="E68" s="88">
        <f>D68-C68</f>
        <v/>
      </c>
      <c r="F68" s="88">
        <f>MAX(0,B68-E68)</f>
        <v/>
      </c>
    </row>
    <row r="69" ht="15" customHeight="1" s="54">
      <c r="A69" s="78" t="n">
        <v>55</v>
      </c>
      <c r="B69" s="88">
        <f>F68</f>
        <v/>
      </c>
      <c r="C69" s="88">
        <f>IF(A69&gt;$B$7,0,B69*$B$6/12)</f>
        <v/>
      </c>
      <c r="D69" s="88">
        <f>IF(OR(A69&lt;=$B$8,A69&gt;$B$7),0,$B$9)</f>
        <v/>
      </c>
      <c r="E69" s="88">
        <f>D69-C69</f>
        <v/>
      </c>
      <c r="F69" s="88">
        <f>MAX(0,B69-E69)</f>
        <v/>
      </c>
    </row>
    <row r="70" ht="15" customHeight="1" s="54">
      <c r="A70" s="78" t="n">
        <v>56</v>
      </c>
      <c r="B70" s="88">
        <f>F69</f>
        <v/>
      </c>
      <c r="C70" s="88">
        <f>IF(A70&gt;$B$7,0,B70*$B$6/12)</f>
        <v/>
      </c>
      <c r="D70" s="88">
        <f>IF(OR(A70&lt;=$B$8,A70&gt;$B$7),0,$B$9)</f>
        <v/>
      </c>
      <c r="E70" s="88">
        <f>D70-C70</f>
        <v/>
      </c>
      <c r="F70" s="88">
        <f>MAX(0,B70-E70)</f>
        <v/>
      </c>
    </row>
    <row r="71" ht="15" customHeight="1" s="54">
      <c r="A71" s="78" t="n">
        <v>57</v>
      </c>
      <c r="B71" s="88">
        <f>F70</f>
        <v/>
      </c>
      <c r="C71" s="88">
        <f>IF(A71&gt;$B$7,0,B71*$B$6/12)</f>
        <v/>
      </c>
      <c r="D71" s="88">
        <f>IF(OR(A71&lt;=$B$8,A71&gt;$B$7),0,$B$9)</f>
        <v/>
      </c>
      <c r="E71" s="88">
        <f>D71-C71</f>
        <v/>
      </c>
      <c r="F71" s="88">
        <f>MAX(0,B71-E71)</f>
        <v/>
      </c>
    </row>
    <row r="72" ht="15" customHeight="1" s="54">
      <c r="A72" s="78" t="n">
        <v>58</v>
      </c>
      <c r="B72" s="88">
        <f>F71</f>
        <v/>
      </c>
      <c r="C72" s="88">
        <f>IF(A72&gt;$B$7,0,B72*$B$6/12)</f>
        <v/>
      </c>
      <c r="D72" s="88">
        <f>IF(OR(A72&lt;=$B$8,A72&gt;$B$7),0,$B$9)</f>
        <v/>
      </c>
      <c r="E72" s="88">
        <f>D72-C72</f>
        <v/>
      </c>
      <c r="F72" s="88">
        <f>MAX(0,B72-E72)</f>
        <v/>
      </c>
    </row>
    <row r="73" ht="15" customHeight="1" s="54">
      <c r="A73" s="78" t="n">
        <v>59</v>
      </c>
      <c r="B73" s="88">
        <f>F72</f>
        <v/>
      </c>
      <c r="C73" s="88">
        <f>IF(A73&gt;$B$7,0,B73*$B$6/12)</f>
        <v/>
      </c>
      <c r="D73" s="88">
        <f>IF(OR(A73&lt;=$B$8,A73&gt;$B$7),0,$B$9)</f>
        <v/>
      </c>
      <c r="E73" s="88">
        <f>D73-C73</f>
        <v/>
      </c>
      <c r="F73" s="88">
        <f>MAX(0,B73-E73)</f>
        <v/>
      </c>
    </row>
    <row r="74" ht="15" customHeight="1" s="54">
      <c r="A74" s="78" t="n">
        <v>60</v>
      </c>
      <c r="B74" s="88">
        <f>F73</f>
        <v/>
      </c>
      <c r="C74" s="88">
        <f>IF(A74&gt;$B$7,0,B74*$B$6/12)</f>
        <v/>
      </c>
      <c r="D74" s="88">
        <f>IF(OR(A74&lt;=$B$8,A74&gt;$B$7),0,$B$9)</f>
        <v/>
      </c>
      <c r="E74" s="88">
        <f>D74-C74</f>
        <v/>
      </c>
      <c r="F74" s="88">
        <f>MAX(0,B74-E74)</f>
        <v/>
      </c>
    </row>
  </sheetData>
  <hyperlinks>
    <hyperlink xmlns:r="http://schemas.openxmlformats.org/officeDocument/2006/relationships" ref="A4" display="Take this step: turn these numbers into a funder-ready business plan with Moeletsi Africa.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2"/>
</worksheet>
</file>

<file path=xl/worksheets/sheet10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N3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53" min="1" max="1"/>
    <col width="11" customWidth="1" style="53" min="2" max="14"/>
  </cols>
  <sheetData>
    <row r="1" ht="17.25" customHeight="1" s="54">
      <c r="A1" s="71" t="inlineStr">
        <is>
          <t>T-C-04  Twelve-Month Cash Flow</t>
        </is>
      </c>
    </row>
    <row r="2" ht="15" customHeight="1" s="54">
      <c r="A2" s="72" t="inlineStr">
        <is>
          <t>When money goes out and comes back in (Module C2).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3" t="n"/>
      <c r="B5" s="73" t="inlineStr">
        <is>
          <t>Month 1</t>
        </is>
      </c>
      <c r="C5" s="73" t="inlineStr">
        <is>
          <t>Month 2</t>
        </is>
      </c>
      <c r="D5" s="73" t="inlineStr">
        <is>
          <t>Month 3</t>
        </is>
      </c>
      <c r="E5" s="73" t="inlineStr">
        <is>
          <t>Month 4</t>
        </is>
      </c>
      <c r="F5" s="73" t="inlineStr">
        <is>
          <t>Month 5</t>
        </is>
      </c>
      <c r="G5" s="73" t="inlineStr">
        <is>
          <t>Month 6</t>
        </is>
      </c>
      <c r="H5" s="73" t="inlineStr">
        <is>
          <t>Month 7</t>
        </is>
      </c>
      <c r="I5" s="73" t="inlineStr">
        <is>
          <t>Month 8</t>
        </is>
      </c>
      <c r="J5" s="73" t="inlineStr">
        <is>
          <t>Month 9</t>
        </is>
      </c>
      <c r="K5" s="73" t="inlineStr">
        <is>
          <t>Month 10</t>
        </is>
      </c>
      <c r="L5" s="73" t="inlineStr">
        <is>
          <t>Month 11</t>
        </is>
      </c>
      <c r="M5" s="73" t="inlineStr">
        <is>
          <t>Month 12</t>
        </is>
      </c>
      <c r="N5" s="73" t="inlineStr">
        <is>
          <t>Year</t>
        </is>
      </c>
    </row>
    <row r="6" ht="15" customHeight="1" s="54">
      <c r="A6" s="77" t="inlineStr">
        <is>
          <t>Money in</t>
        </is>
      </c>
    </row>
    <row r="7" ht="15" customHeight="1" s="54">
      <c r="A7" s="78" t="inlineStr">
        <is>
          <t>Sales - enterprise 1</t>
        </is>
      </c>
      <c r="B7" s="79" t="n"/>
      <c r="C7" s="79" t="n"/>
      <c r="D7" s="79" t="n"/>
      <c r="E7" s="79" t="n"/>
      <c r="F7" s="79" t="n">
        <v>1200</v>
      </c>
      <c r="G7" s="79" t="n"/>
      <c r="H7" s="79" t="n"/>
      <c r="I7" s="79" t="n"/>
      <c r="J7" s="79" t="n">
        <v>1200</v>
      </c>
      <c r="K7" s="79" t="n"/>
      <c r="L7" s="79" t="n"/>
      <c r="M7" s="79" t="n"/>
      <c r="N7" s="88">
        <f>SUM(B7:M7)</f>
        <v/>
      </c>
    </row>
    <row r="8" ht="15" customHeight="1" s="54">
      <c r="A8" s="78" t="inlineStr">
        <is>
          <t>Sales - enterprise 2</t>
        </is>
      </c>
      <c r="B8" s="79" t="n"/>
      <c r="C8" s="79" t="n">
        <v>520</v>
      </c>
      <c r="D8" s="79" t="n">
        <v>520</v>
      </c>
      <c r="E8" s="79" t="n">
        <v>520</v>
      </c>
      <c r="F8" s="79" t="n">
        <v>520</v>
      </c>
      <c r="G8" s="79" t="n">
        <v>520</v>
      </c>
      <c r="H8" s="79" t="n">
        <v>520</v>
      </c>
      <c r="I8" s="79" t="n">
        <v>520</v>
      </c>
      <c r="J8" s="79" t="n">
        <v>520</v>
      </c>
      <c r="K8" s="79" t="n">
        <v>520</v>
      </c>
      <c r="L8" s="79" t="n">
        <v>520</v>
      </c>
      <c r="M8" s="79" t="n">
        <v>520</v>
      </c>
      <c r="N8" s="88">
        <f>SUM(B8:M8)</f>
        <v/>
      </c>
    </row>
    <row r="9" ht="15" customHeight="1" s="54">
      <c r="A9" s="78" t="inlineStr">
        <is>
          <t>Sales - enterprise 3</t>
        </is>
      </c>
      <c r="B9" s="79" t="n"/>
      <c r="C9" s="79" t="n"/>
      <c r="D9" s="79" t="n">
        <v>600</v>
      </c>
      <c r="E9" s="79" t="n">
        <v>600</v>
      </c>
      <c r="F9" s="79" t="n"/>
      <c r="G9" s="79" t="n"/>
      <c r="H9" s="79" t="n">
        <v>600</v>
      </c>
      <c r="I9" s="79" t="n">
        <v>600</v>
      </c>
      <c r="J9" s="79" t="n"/>
      <c r="K9" s="79" t="n"/>
      <c r="L9" s="79" t="n">
        <v>600</v>
      </c>
      <c r="M9" s="79" t="n">
        <v>600</v>
      </c>
      <c r="N9" s="88">
        <f>SUM(B9:M9)</f>
        <v/>
      </c>
    </row>
    <row r="10" ht="15" customHeight="1" s="54">
      <c r="A10" s="78" t="inlineStr">
        <is>
          <t>Loan received</t>
        </is>
      </c>
      <c r="B10" s="88">
        <f>'T-C-02 Start-Up Capital'!B26</f>
        <v/>
      </c>
      <c r="C10" s="79" t="n"/>
      <c r="D10" s="79" t="n"/>
      <c r="E10" s="79" t="n"/>
      <c r="F10" s="79" t="n"/>
      <c r="G10" s="79" t="n"/>
      <c r="H10" s="79" t="n"/>
      <c r="I10" s="79" t="n"/>
      <c r="J10" s="79" t="n"/>
      <c r="K10" s="79" t="n"/>
      <c r="L10" s="79" t="n"/>
      <c r="M10" s="79" t="n"/>
      <c r="N10" s="88">
        <f>SUM(B10:M10)</f>
        <v/>
      </c>
    </row>
    <row r="11" ht="15" customHeight="1" s="54">
      <c r="A11" s="78" t="inlineStr">
        <is>
          <t>Own funds put in</t>
        </is>
      </c>
      <c r="B11" s="88">
        <f>'T-C-02 Start-Up Capital'!B25</f>
        <v/>
      </c>
      <c r="C11" s="79" t="n"/>
      <c r="D11" s="79" t="n"/>
      <c r="E11" s="79" t="n"/>
      <c r="F11" s="79" t="n"/>
      <c r="G11" s="79" t="n"/>
      <c r="H11" s="79" t="n"/>
      <c r="I11" s="79" t="n"/>
      <c r="J11" s="79" t="n"/>
      <c r="K11" s="79" t="n"/>
      <c r="L11" s="79" t="n"/>
      <c r="M11" s="79" t="n"/>
      <c r="N11" s="88">
        <f>SUM(B11:M11)</f>
        <v/>
      </c>
    </row>
    <row r="12" ht="15" customHeight="1" s="54">
      <c r="A12" s="78" t="inlineStr">
        <is>
          <t>Other income</t>
        </is>
      </c>
      <c r="B12" s="79" t="n"/>
      <c r="C12" s="79" t="n"/>
      <c r="D12" s="79" t="n"/>
      <c r="E12" s="79" t="n"/>
      <c r="F12" s="79" t="n"/>
      <c r="G12" s="79" t="n"/>
      <c r="H12" s="79" t="n"/>
      <c r="I12" s="79" t="n"/>
      <c r="J12" s="79" t="n"/>
      <c r="K12" s="79" t="n"/>
      <c r="L12" s="79" t="n"/>
      <c r="M12" s="79" t="n"/>
      <c r="N12" s="88">
        <f>SUM(B12:M12)</f>
        <v/>
      </c>
    </row>
    <row r="13" ht="15" customHeight="1" s="54">
      <c r="A13" s="91" t="inlineStr">
        <is>
          <t>Total money in</t>
        </is>
      </c>
      <c r="B13" s="93">
        <f>SUM(B7:B12)</f>
        <v/>
      </c>
      <c r="C13" s="93">
        <f>SUM(C7:C12)</f>
        <v/>
      </c>
      <c r="D13" s="93">
        <f>SUM(D7:D12)</f>
        <v/>
      </c>
      <c r="E13" s="93">
        <f>SUM(E7:E12)</f>
        <v/>
      </c>
      <c r="F13" s="93">
        <f>SUM(F7:F12)</f>
        <v/>
      </c>
      <c r="G13" s="93">
        <f>SUM(G7:G12)</f>
        <v/>
      </c>
      <c r="H13" s="93">
        <f>SUM(H7:H12)</f>
        <v/>
      </c>
      <c r="I13" s="93">
        <f>SUM(I7:I12)</f>
        <v/>
      </c>
      <c r="J13" s="93">
        <f>SUM(J7:J12)</f>
        <v/>
      </c>
      <c r="K13" s="93">
        <f>SUM(K7:K12)</f>
        <v/>
      </c>
      <c r="L13" s="93">
        <f>SUM(L7:L12)</f>
        <v/>
      </c>
      <c r="M13" s="93">
        <f>SUM(M7:M12)</f>
        <v/>
      </c>
      <c r="N13" s="93">
        <f>SUM(N7:N12)</f>
        <v/>
      </c>
    </row>
    <row r="14"/>
    <row r="15" ht="15" customHeight="1" s="54">
      <c r="A15" s="77" t="inlineStr">
        <is>
          <t>Money out</t>
        </is>
      </c>
    </row>
    <row r="16" ht="15" customHeight="1" s="54">
      <c r="A16" s="78" t="inlineStr">
        <is>
          <t>Seed, chicks or stock</t>
        </is>
      </c>
      <c r="B16" s="79" t="n">
        <v>450</v>
      </c>
      <c r="C16" s="79" t="n"/>
      <c r="D16" s="79" t="n"/>
      <c r="E16" s="79" t="n"/>
      <c r="F16" s="79" t="n"/>
      <c r="G16" s="79" t="n">
        <v>450</v>
      </c>
      <c r="H16" s="79" t="n"/>
      <c r="I16" s="79" t="n"/>
      <c r="J16" s="79" t="n"/>
      <c r="K16" s="79" t="n">
        <v>450</v>
      </c>
      <c r="L16" s="79" t="n"/>
      <c r="M16" s="79" t="n"/>
      <c r="N16" s="88">
        <f>SUM(B16:M16)</f>
        <v/>
      </c>
    </row>
    <row r="17" ht="15" customHeight="1" s="54">
      <c r="A17" s="78" t="inlineStr">
        <is>
          <t>Feed and fertiliser</t>
        </is>
      </c>
      <c r="B17" s="79" t="n">
        <v>380</v>
      </c>
      <c r="C17" s="79" t="n">
        <v>300</v>
      </c>
      <c r="D17" s="79" t="n">
        <v>300</v>
      </c>
      <c r="E17" s="79" t="n">
        <v>300</v>
      </c>
      <c r="F17" s="79" t="n">
        <v>300</v>
      </c>
      <c r="G17" s="79" t="n">
        <v>380</v>
      </c>
      <c r="H17" s="79" t="n">
        <v>300</v>
      </c>
      <c r="I17" s="79" t="n">
        <v>300</v>
      </c>
      <c r="J17" s="79" t="n">
        <v>300</v>
      </c>
      <c r="K17" s="79" t="n">
        <v>380</v>
      </c>
      <c r="L17" s="79" t="n">
        <v>300</v>
      </c>
      <c r="M17" s="79" t="n">
        <v>300</v>
      </c>
      <c r="N17" s="88">
        <f>SUM(B17:M17)</f>
        <v/>
      </c>
    </row>
    <row r="18" ht="15" customHeight="1" s="54">
      <c r="A18" s="78" t="inlineStr">
        <is>
          <t>Chemicals and veterinary</t>
        </is>
      </c>
      <c r="B18" s="79" t="n">
        <v>60</v>
      </c>
      <c r="C18" s="79" t="n">
        <v>40</v>
      </c>
      <c r="D18" s="79" t="n">
        <v>40</v>
      </c>
      <c r="E18" s="79" t="n">
        <v>40</v>
      </c>
      <c r="F18" s="79" t="n">
        <v>40</v>
      </c>
      <c r="G18" s="79" t="n">
        <v>60</v>
      </c>
      <c r="H18" s="79" t="n">
        <v>40</v>
      </c>
      <c r="I18" s="79" t="n">
        <v>40</v>
      </c>
      <c r="J18" s="79" t="n">
        <v>40</v>
      </c>
      <c r="K18" s="79" t="n">
        <v>60</v>
      </c>
      <c r="L18" s="79" t="n">
        <v>40</v>
      </c>
      <c r="M18" s="79" t="n">
        <v>40</v>
      </c>
      <c r="N18" s="88">
        <f>SUM(B18:M18)</f>
        <v/>
      </c>
    </row>
    <row r="19" ht="15" customHeight="1" s="54">
      <c r="A19" s="78" t="inlineStr">
        <is>
          <t>Labour</t>
        </is>
      </c>
      <c r="B19" s="79" t="n">
        <v>150</v>
      </c>
      <c r="C19" s="79" t="n">
        <v>150</v>
      </c>
      <c r="D19" s="79" t="n">
        <v>150</v>
      </c>
      <c r="E19" s="79" t="n">
        <v>150</v>
      </c>
      <c r="F19" s="79" t="n">
        <v>150</v>
      </c>
      <c r="G19" s="79" t="n">
        <v>150</v>
      </c>
      <c r="H19" s="79" t="n">
        <v>150</v>
      </c>
      <c r="I19" s="79" t="n">
        <v>150</v>
      </c>
      <c r="J19" s="79" t="n">
        <v>150</v>
      </c>
      <c r="K19" s="79" t="n">
        <v>150</v>
      </c>
      <c r="L19" s="79" t="n">
        <v>150</v>
      </c>
      <c r="M19" s="79" t="n">
        <v>150</v>
      </c>
      <c r="N19" s="88">
        <f>SUM(B19:M19)</f>
        <v/>
      </c>
    </row>
    <row r="20" ht="15" customHeight="1" s="54">
      <c r="A20" s="78" t="inlineStr">
        <is>
          <t>Transport and selling</t>
        </is>
      </c>
      <c r="B20" s="79" t="n">
        <v>40</v>
      </c>
      <c r="C20" s="79" t="n">
        <v>60</v>
      </c>
      <c r="D20" s="79" t="n">
        <v>90</v>
      </c>
      <c r="E20" s="79" t="n">
        <v>90</v>
      </c>
      <c r="F20" s="79" t="n">
        <v>90</v>
      </c>
      <c r="G20" s="79" t="n">
        <v>60</v>
      </c>
      <c r="H20" s="79" t="n">
        <v>90</v>
      </c>
      <c r="I20" s="79" t="n">
        <v>90</v>
      </c>
      <c r="J20" s="79" t="n">
        <v>90</v>
      </c>
      <c r="K20" s="79" t="n">
        <v>60</v>
      </c>
      <c r="L20" s="79" t="n">
        <v>90</v>
      </c>
      <c r="M20" s="79" t="n">
        <v>90</v>
      </c>
      <c r="N20" s="88">
        <f>SUM(B20:M20)</f>
        <v/>
      </c>
    </row>
    <row r="21" ht="15" customHeight="1" s="54">
      <c r="A21" s="78" t="inlineStr">
        <is>
          <t>Power and water</t>
        </is>
      </c>
      <c r="B21" s="79" t="n">
        <v>45</v>
      </c>
      <c r="C21" s="79" t="n">
        <v>45</v>
      </c>
      <c r="D21" s="79" t="n">
        <v>45</v>
      </c>
      <c r="E21" s="79" t="n">
        <v>45</v>
      </c>
      <c r="F21" s="79" t="n">
        <v>45</v>
      </c>
      <c r="G21" s="79" t="n">
        <v>45</v>
      </c>
      <c r="H21" s="79" t="n">
        <v>45</v>
      </c>
      <c r="I21" s="79" t="n">
        <v>45</v>
      </c>
      <c r="J21" s="79" t="n">
        <v>45</v>
      </c>
      <c r="K21" s="79" t="n">
        <v>45</v>
      </c>
      <c r="L21" s="79" t="n">
        <v>45</v>
      </c>
      <c r="M21" s="79" t="n">
        <v>45</v>
      </c>
      <c r="N21" s="88">
        <f>SUM(B21:M21)</f>
        <v/>
      </c>
    </row>
    <row r="22" ht="15" customHeight="1" s="54">
      <c r="A22" s="78" t="inlineStr">
        <is>
          <t>Loan repayments</t>
        </is>
      </c>
      <c r="B22" s="88">
        <f>'T-C-03 Loan'!$B$9</f>
        <v/>
      </c>
      <c r="C22" s="88">
        <f>'T-C-03 Loan'!$B$9</f>
        <v/>
      </c>
      <c r="D22" s="88">
        <f>'T-C-03 Loan'!$B$9</f>
        <v/>
      </c>
      <c r="E22" s="88">
        <f>'T-C-03 Loan'!$B$9</f>
        <v/>
      </c>
      <c r="F22" s="88">
        <f>'T-C-03 Loan'!$B$9</f>
        <v/>
      </c>
      <c r="G22" s="88">
        <f>'T-C-03 Loan'!$B$9</f>
        <v/>
      </c>
      <c r="H22" s="88">
        <f>'T-C-03 Loan'!$B$9</f>
        <v/>
      </c>
      <c r="I22" s="88">
        <f>'T-C-03 Loan'!$B$9</f>
        <v/>
      </c>
      <c r="J22" s="88">
        <f>'T-C-03 Loan'!$B$9</f>
        <v/>
      </c>
      <c r="K22" s="88">
        <f>'T-C-03 Loan'!$B$9</f>
        <v/>
      </c>
      <c r="L22" s="88">
        <f>'T-C-03 Loan'!$B$9</f>
        <v/>
      </c>
      <c r="M22" s="88">
        <f>'T-C-03 Loan'!$B$9</f>
        <v/>
      </c>
      <c r="N22" s="88">
        <f>SUM(B22:M22)</f>
        <v/>
      </c>
    </row>
    <row r="23" ht="15" customHeight="1" s="54">
      <c r="A23" s="78" t="inlineStr">
        <is>
          <t>Fixed investment</t>
        </is>
      </c>
      <c r="B23" s="88">
        <f>'T-C-02 Start-Up Capital'!B15</f>
        <v/>
      </c>
      <c r="C23" s="79" t="n"/>
      <c r="D23" s="79" t="n"/>
      <c r="E23" s="79" t="n"/>
      <c r="F23" s="79" t="n"/>
      <c r="G23" s="79" t="n"/>
      <c r="H23" s="79" t="n"/>
      <c r="I23" s="79" t="n"/>
      <c r="J23" s="79" t="n"/>
      <c r="K23" s="79" t="n"/>
      <c r="L23" s="79" t="n"/>
      <c r="M23" s="79" t="n"/>
      <c r="N23" s="88">
        <f>SUM(B23:M23)</f>
        <v/>
      </c>
    </row>
    <row r="24" ht="15" customHeight="1" s="54">
      <c r="A24" s="78" t="inlineStr">
        <is>
          <t>Other costs</t>
        </is>
      </c>
      <c r="B24" s="79" t="n">
        <v>25</v>
      </c>
      <c r="C24" s="79" t="n">
        <v>25</v>
      </c>
      <c r="D24" s="79" t="n">
        <v>25</v>
      </c>
      <c r="E24" s="79" t="n">
        <v>25</v>
      </c>
      <c r="F24" s="79" t="n">
        <v>25</v>
      </c>
      <c r="G24" s="79" t="n">
        <v>25</v>
      </c>
      <c r="H24" s="79" t="n">
        <v>25</v>
      </c>
      <c r="I24" s="79" t="n">
        <v>25</v>
      </c>
      <c r="J24" s="79" t="n">
        <v>25</v>
      </c>
      <c r="K24" s="79" t="n">
        <v>25</v>
      </c>
      <c r="L24" s="79" t="n">
        <v>25</v>
      </c>
      <c r="M24" s="79" t="n">
        <v>25</v>
      </c>
      <c r="N24" s="88">
        <f>SUM(B24:M24)</f>
        <v/>
      </c>
    </row>
    <row r="25" ht="15" customHeight="1" s="54">
      <c r="A25" s="91" t="inlineStr">
        <is>
          <t>Total money out</t>
        </is>
      </c>
      <c r="B25" s="93">
        <f>SUM(B16:B24)</f>
        <v/>
      </c>
      <c r="C25" s="93">
        <f>SUM(C16:C24)</f>
        <v/>
      </c>
      <c r="D25" s="93">
        <f>SUM(D16:D24)</f>
        <v/>
      </c>
      <c r="E25" s="93">
        <f>SUM(E16:E24)</f>
        <v/>
      </c>
      <c r="F25" s="93">
        <f>SUM(F16:F24)</f>
        <v/>
      </c>
      <c r="G25" s="93">
        <f>SUM(G16:G24)</f>
        <v/>
      </c>
      <c r="H25" s="93">
        <f>SUM(H16:H24)</f>
        <v/>
      </c>
      <c r="I25" s="93">
        <f>SUM(I16:I24)</f>
        <v/>
      </c>
      <c r="J25" s="93">
        <f>SUM(J16:J24)</f>
        <v/>
      </c>
      <c r="K25" s="93">
        <f>SUM(K16:K24)</f>
        <v/>
      </c>
      <c r="L25" s="93">
        <f>SUM(L16:L24)</f>
        <v/>
      </c>
      <c r="M25" s="93">
        <f>SUM(M16:M24)</f>
        <v/>
      </c>
      <c r="N25" s="93">
        <f>SUM(N16:N24)</f>
        <v/>
      </c>
    </row>
    <row r="26"/>
    <row r="27" ht="15" customHeight="1" s="54">
      <c r="A27" s="78" t="inlineStr">
        <is>
          <t>Net cash for the month</t>
        </is>
      </c>
      <c r="B27" s="88">
        <f>B13-B25</f>
        <v/>
      </c>
      <c r="C27" s="88">
        <f>C13-C25</f>
        <v/>
      </c>
      <c r="D27" s="88">
        <f>D13-D25</f>
        <v/>
      </c>
      <c r="E27" s="88">
        <f>E13-E25</f>
        <v/>
      </c>
      <c r="F27" s="88">
        <f>F13-F25</f>
        <v/>
      </c>
      <c r="G27" s="88">
        <f>G13-G25</f>
        <v/>
      </c>
      <c r="H27" s="88">
        <f>H13-H25</f>
        <v/>
      </c>
      <c r="I27" s="88">
        <f>I13-I25</f>
        <v/>
      </c>
      <c r="J27" s="88">
        <f>J13-J25</f>
        <v/>
      </c>
      <c r="K27" s="88">
        <f>K13-K25</f>
        <v/>
      </c>
      <c r="L27" s="88">
        <f>L13-L25</f>
        <v/>
      </c>
      <c r="M27" s="88">
        <f>M13-M25</f>
        <v/>
      </c>
      <c r="N27" s="88">
        <f>N13-N25</f>
        <v/>
      </c>
    </row>
    <row r="28" ht="15" customHeight="1" s="54">
      <c r="A28" s="78" t="inlineStr">
        <is>
          <t>Opening cash</t>
        </is>
      </c>
      <c r="B28" s="79" t="n">
        <v>0</v>
      </c>
      <c r="C28" s="88">
        <f>B29</f>
        <v/>
      </c>
      <c r="D28" s="88">
        <f>C29</f>
        <v/>
      </c>
      <c r="E28" s="88">
        <f>D29</f>
        <v/>
      </c>
      <c r="F28" s="88">
        <f>E29</f>
        <v/>
      </c>
      <c r="G28" s="88">
        <f>F29</f>
        <v/>
      </c>
      <c r="H28" s="88">
        <f>G29</f>
        <v/>
      </c>
      <c r="I28" s="88">
        <f>H29</f>
        <v/>
      </c>
      <c r="J28" s="88">
        <f>I29</f>
        <v/>
      </c>
      <c r="K28" s="88">
        <f>J29</f>
        <v/>
      </c>
      <c r="L28" s="88">
        <f>K29</f>
        <v/>
      </c>
      <c r="M28" s="88">
        <f>L29</f>
        <v/>
      </c>
    </row>
    <row r="29" ht="15" customHeight="1" s="54">
      <c r="A29" s="91" t="inlineStr">
        <is>
          <t>Closing cash</t>
        </is>
      </c>
      <c r="B29" s="93">
        <f>B28+B27</f>
        <v/>
      </c>
      <c r="C29" s="93">
        <f>C28+C27</f>
        <v/>
      </c>
      <c r="D29" s="93">
        <f>D28+D27</f>
        <v/>
      </c>
      <c r="E29" s="93">
        <f>E28+E27</f>
        <v/>
      </c>
      <c r="F29" s="93">
        <f>F28+F27</f>
        <v/>
      </c>
      <c r="G29" s="93">
        <f>G28+G27</f>
        <v/>
      </c>
      <c r="H29" s="93">
        <f>H28+H27</f>
        <v/>
      </c>
      <c r="I29" s="93">
        <f>I28+I27</f>
        <v/>
      </c>
      <c r="J29" s="93">
        <f>J28+J27</f>
        <v/>
      </c>
      <c r="K29" s="93">
        <f>K28+K27</f>
        <v/>
      </c>
      <c r="L29" s="93">
        <f>L28+L27</f>
        <v/>
      </c>
      <c r="M29" s="93">
        <f>M28+M27</f>
        <v/>
      </c>
    </row>
    <row r="30"/>
    <row r="31" ht="15" customHeight="1" s="54">
      <c r="A31" s="78" t="inlineStr">
        <is>
          <t>Lowest closing cash in the year</t>
        </is>
      </c>
      <c r="B31" s="93">
        <f>MIN(B29:M29)</f>
        <v/>
      </c>
    </row>
    <row r="32" ht="15" customHeight="1" s="54">
      <c r="A32" s="78" t="inlineStr">
        <is>
          <t>Check</t>
        </is>
      </c>
      <c r="B32" s="80">
        <f>IF(B31&lt;0,"Cash runs out - add working capital or move costs","Cash stays positive all year")</f>
        <v/>
      </c>
    </row>
  </sheetData>
  <conditionalFormatting sqref="B29:M29">
    <cfRule type="cellIs" rank="0" priority="2" equalAverage="0" operator="lessThan" aboveAverage="0" dxfId="4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D2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6" customWidth="1" style="53" min="1" max="1"/>
    <col width="18" customWidth="1" style="53" min="2" max="4"/>
  </cols>
  <sheetData>
    <row r="1" ht="17.25" customHeight="1" s="54">
      <c r="A1" s="71" t="inlineStr">
        <is>
          <t>T-C-05  Delivered Cost Calculator</t>
        </is>
      </c>
    </row>
    <row r="2" ht="15" customHeight="1" s="54">
      <c r="A2" s="72" t="inlineStr">
        <is>
          <t>What it costs to get produce to the buyer, and what the farm really earns (Module C5).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94" t="inlineStr">
        <is>
          <t>Take this step: post the load on Mashofe.com and compare the quote with the transport cost above.</t>
        </is>
      </c>
    </row>
    <row r="5" ht="15" customHeight="1" s="54">
      <c r="A5" s="73" t="n"/>
      <c r="B5" s="73" t="inlineStr">
        <is>
          <t>Buyer A</t>
        </is>
      </c>
      <c r="C5" s="73" t="inlineStr">
        <is>
          <t>Buyer B</t>
        </is>
      </c>
      <c r="D5" s="73" t="inlineStr">
        <is>
          <t>Buyer C</t>
        </is>
      </c>
    </row>
    <row r="6" ht="15" customHeight="1" s="54">
      <c r="A6" s="78" t="inlineStr">
        <is>
          <t>Buyer name</t>
        </is>
      </c>
      <c r="B6" s="90" t="inlineStr">
        <is>
          <t>GMB depot, Chegutu</t>
        </is>
      </c>
      <c r="C6" s="90" t="inlineStr">
        <is>
          <t>Private miller, Harare</t>
        </is>
      </c>
      <c r="D6" s="90" t="inlineStr">
        <is>
          <t>Feed mill, Kadoma</t>
        </is>
      </c>
    </row>
    <row r="7" ht="15" customHeight="1" s="54">
      <c r="A7" s="78" t="inlineStr">
        <is>
          <t>Quantity sold (tonnes)</t>
        </is>
      </c>
      <c r="B7" s="81" t="n">
        <v>5</v>
      </c>
      <c r="C7" s="81" t="n">
        <v>5</v>
      </c>
      <c r="D7" s="81" t="n">
        <v>5</v>
      </c>
    </row>
    <row r="8" ht="15" customHeight="1" s="54">
      <c r="A8" s="78" t="inlineStr">
        <is>
          <t>Price offered per tonne</t>
        </is>
      </c>
      <c r="B8" s="90" t="n">
        <v>364.75</v>
      </c>
      <c r="C8" s="90" t="n">
        <v>380</v>
      </c>
      <c r="D8" s="90" t="n">
        <v>372</v>
      </c>
    </row>
    <row r="9" ht="15" customHeight="1" s="54">
      <c r="A9" s="78" t="inlineStr">
        <is>
          <t>Distance from farm (km)</t>
        </is>
      </c>
      <c r="B9" s="95" t="n">
        <v>15</v>
      </c>
      <c r="C9" s="95" t="n">
        <v>110</v>
      </c>
      <c r="D9" s="95" t="n">
        <v>60</v>
      </c>
    </row>
    <row r="10" ht="15" customHeight="1" s="54">
      <c r="A10" s="78" t="inlineStr">
        <is>
          <t>Transport cost per tonne per km</t>
        </is>
      </c>
      <c r="B10" s="100" t="n">
        <v>0.12</v>
      </c>
      <c r="C10" s="100" t="n">
        <v>0.1</v>
      </c>
      <c r="D10" s="100" t="n">
        <v>0.11</v>
      </c>
    </row>
    <row r="11" ht="15" customHeight="1" s="54">
      <c r="A11" s="78" t="inlineStr">
        <is>
          <t>Loading and handling per tonne</t>
        </is>
      </c>
      <c r="B11" s="90" t="n">
        <v>4</v>
      </c>
      <c r="C11" s="90" t="n">
        <v>4</v>
      </c>
      <c r="D11" s="90" t="n">
        <v>4</v>
      </c>
    </row>
    <row r="12" ht="15" customHeight="1" s="54">
      <c r="A12" s="78" t="inlineStr">
        <is>
          <t>Permits, levies, border fees (total)</t>
        </is>
      </c>
      <c r="B12" s="90" t="n">
        <v>0</v>
      </c>
      <c r="C12" s="90" t="n">
        <v>10</v>
      </c>
      <c r="D12" s="90" t="n">
        <v>0</v>
      </c>
    </row>
    <row r="13" ht="15" customHeight="1" s="54">
      <c r="A13" s="78" t="inlineStr">
        <is>
          <t>Commission (% of sales)</t>
        </is>
      </c>
      <c r="B13" s="98" t="n">
        <v>0</v>
      </c>
      <c r="C13" s="98" t="n">
        <v>0</v>
      </c>
      <c r="D13" s="98" t="n">
        <v>0.02</v>
      </c>
    </row>
    <row r="14" ht="15" customHeight="1" s="54">
      <c r="A14" s="78" t="inlineStr">
        <is>
          <t>Loss or downgrade in transit (%)</t>
        </is>
      </c>
      <c r="B14" s="98" t="n">
        <v>0.01</v>
      </c>
      <c r="C14" s="98" t="n">
        <v>0.02</v>
      </c>
      <c r="D14" s="98" t="n">
        <v>0.015</v>
      </c>
    </row>
    <row r="15" ht="15" customHeight="1" s="54">
      <c r="A15" s="78" t="inlineStr">
        <is>
          <t>Days until paid</t>
        </is>
      </c>
      <c r="B15" s="95" t="n">
        <v>60</v>
      </c>
      <c r="C15" s="95" t="n">
        <v>14</v>
      </c>
      <c r="D15" s="95" t="n">
        <v>30</v>
      </c>
    </row>
    <row r="16" ht="15" customHeight="1" s="54">
      <c r="A16" s="78" t="inlineStr">
        <is>
          <t>Interest rate per year (cost of waiting)</t>
        </is>
      </c>
      <c r="B16" s="98" t="n">
        <v>0.18</v>
      </c>
      <c r="C16" s="98" t="n">
        <v>0.18</v>
      </c>
      <c r="D16" s="98" t="n">
        <v>0.18</v>
      </c>
    </row>
    <row r="17" ht="15" customHeight="1" s="54">
      <c r="A17" s="78" t="inlineStr">
        <is>
          <t>Gross sales</t>
        </is>
      </c>
      <c r="B17" s="88">
        <f>B7*(1-B14)*B8</f>
        <v/>
      </c>
      <c r="C17" s="88">
        <f>C7*(1-C14)*C8</f>
        <v/>
      </c>
      <c r="D17" s="88">
        <f>D7*(1-D14)*D8</f>
        <v/>
      </c>
    </row>
    <row r="18" ht="15" customHeight="1" s="54">
      <c r="A18" s="78" t="inlineStr">
        <is>
          <t>Transport</t>
        </is>
      </c>
      <c r="B18" s="88">
        <f>B7*B9*B10</f>
        <v/>
      </c>
      <c r="C18" s="88">
        <f>C7*C9*C10</f>
        <v/>
      </c>
      <c r="D18" s="88">
        <f>D7*D9*D10</f>
        <v/>
      </c>
    </row>
    <row r="19" ht="15" customHeight="1" s="54">
      <c r="A19" s="78" t="inlineStr">
        <is>
          <t>Loading and handling</t>
        </is>
      </c>
      <c r="B19" s="88">
        <f>B7*B11</f>
        <v/>
      </c>
      <c r="C19" s="88">
        <f>C7*C11</f>
        <v/>
      </c>
      <c r="D19" s="88">
        <f>D7*D11</f>
        <v/>
      </c>
    </row>
    <row r="20" ht="15" customHeight="1" s="54">
      <c r="A20" s="78" t="inlineStr">
        <is>
          <t>Permits and levies</t>
        </is>
      </c>
      <c r="B20" s="88">
        <f>B12</f>
        <v/>
      </c>
      <c r="C20" s="88">
        <f>C12</f>
        <v/>
      </c>
      <c r="D20" s="88">
        <f>D12</f>
        <v/>
      </c>
    </row>
    <row r="21" ht="15" customHeight="1" s="54">
      <c r="A21" s="78" t="inlineStr">
        <is>
          <t>Commission</t>
        </is>
      </c>
      <c r="B21" s="88">
        <f>B17*B13</f>
        <v/>
      </c>
      <c r="C21" s="88">
        <f>C17*C13</f>
        <v/>
      </c>
      <c r="D21" s="88">
        <f>D17*D13</f>
        <v/>
      </c>
    </row>
    <row r="22" ht="15" customHeight="1" s="54">
      <c r="A22" s="78" t="inlineStr">
        <is>
          <t>Cost of waiting for payment</t>
        </is>
      </c>
      <c r="B22" s="88">
        <f>B17*B16*B15/365</f>
        <v/>
      </c>
      <c r="C22" s="88">
        <f>C17*C16*C15/365</f>
        <v/>
      </c>
      <c r="D22" s="88">
        <f>D17*D16*D15/365</f>
        <v/>
      </c>
    </row>
    <row r="23" ht="15" customHeight="1" s="54">
      <c r="A23" s="91" t="inlineStr">
        <is>
          <t>Net received</t>
        </is>
      </c>
      <c r="B23" s="93">
        <f>B17-B18-B19-B20-B21-B22</f>
        <v/>
      </c>
      <c r="C23" s="93">
        <f>C17-C18-C19-C20-C21-C22</f>
        <v/>
      </c>
      <c r="D23" s="93">
        <f>D17-D18-D19-D20-D21-D22</f>
        <v/>
      </c>
    </row>
    <row r="24" ht="15" customHeight="1" s="54">
      <c r="A24" s="91" t="inlineStr">
        <is>
          <t>FARM-GATE PRICE PER TONNE</t>
        </is>
      </c>
      <c r="B24" s="93">
        <f>IFERROR(B23/B7,0)</f>
        <v/>
      </c>
      <c r="C24" s="93">
        <f>IFERROR(C23/C7,0)</f>
        <v/>
      </c>
      <c r="D24" s="93">
        <f>IFERROR(D23/D7,0)</f>
        <v/>
      </c>
    </row>
    <row r="25"/>
    <row r="26" ht="15" customHeight="1" s="54">
      <c r="A26" s="91" t="inlineStr">
        <is>
          <t>Best buyer on farm-gate price</t>
        </is>
      </c>
      <c r="B26" s="101">
        <f>INDEX(B6:D6,MATCH(MAX(B24:D24),B24:D24,0))</f>
        <v/>
      </c>
    </row>
  </sheetData>
  <hyperlinks>
    <hyperlink xmlns:r="http://schemas.openxmlformats.org/officeDocument/2006/relationships" ref="A4" display="Take this step: post the load on Mashofe.com and compare the quote with the transport cost above.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2"/>
</worksheet>
</file>

<file path=xl/worksheets/sheet12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C1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0" customWidth="1" style="53" min="1" max="1"/>
    <col width="18" customWidth="1" style="53" min="2" max="2"/>
    <col width="30" customWidth="1" style="53" min="3" max="3"/>
  </cols>
  <sheetData>
    <row r="1" ht="17.25" customHeight="1" s="54">
      <c r="A1" s="71" t="inlineStr">
        <is>
          <t>T-C-06  Break-Even Calculator</t>
        </is>
      </c>
    </row>
    <row r="2" ht="15" customHeight="1" s="54">
      <c r="A2" s="72" t="inlineStr">
        <is>
          <t>How much I must sell before I make money (Module C4).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Unit of sale (tonne, bird, tray, head...)</t>
        </is>
      </c>
      <c r="B5" s="79" t="inlineStr">
        <is>
          <t>tonne</t>
        </is>
      </c>
    </row>
    <row r="6" ht="15" customHeight="1" s="54">
      <c r="A6" s="78" t="inlineStr">
        <is>
          <t>Price per unit</t>
        </is>
      </c>
      <c r="B6" s="90" t="n">
        <v>364.75</v>
      </c>
    </row>
    <row r="7" ht="15" customHeight="1" s="54">
      <c r="A7" s="78" t="inlineStr">
        <is>
          <t>Variable cost per unit</t>
        </is>
      </c>
      <c r="B7" s="90" t="n">
        <v>250</v>
      </c>
    </row>
    <row r="8" ht="15" customHeight="1" s="54">
      <c r="A8" s="78" t="inlineStr">
        <is>
          <t>Fixed costs per year (depreciation, rent, salaries)</t>
        </is>
      </c>
      <c r="B8" s="88">
        <f>'T-C-02 Start-Up Capital'!B16+'T-C-03 Loan'!B9*12</f>
        <v/>
      </c>
      <c r="C8" s="76" t="inlineStr">
        <is>
          <t>From T-C-02 and T-C-03; overwrite if needed</t>
        </is>
      </c>
    </row>
    <row r="9" ht="15" customHeight="1" s="54">
      <c r="A9" s="78" t="inlineStr">
        <is>
          <t>Margin per unit</t>
        </is>
      </c>
      <c r="B9" s="88">
        <f>B6-B7</f>
        <v/>
      </c>
    </row>
    <row r="10" ht="15" customHeight="1" s="54">
      <c r="A10" s="91" t="inlineStr">
        <is>
          <t>BREAK-EVEN VOLUME (units per year)</t>
        </is>
      </c>
      <c r="B10" s="102">
        <f>IFERROR(B8/B9,"Price below cost")</f>
        <v/>
      </c>
    </row>
    <row r="11"/>
    <row r="12" ht="15" customHeight="1" s="54">
      <c r="A12" s="77" t="inlineStr">
        <is>
          <t>Break-even yield for a crop</t>
        </is>
      </c>
    </row>
    <row r="13" ht="15" customHeight="1" s="54">
      <c r="A13" s="78" t="inlineStr">
        <is>
          <t>Total cost per hectare</t>
        </is>
      </c>
      <c r="B13" s="90" t="n">
        <v>1250</v>
      </c>
    </row>
    <row r="14" ht="15" customHeight="1" s="54">
      <c r="A14" s="78" t="inlineStr">
        <is>
          <t>Price per tonne</t>
        </is>
      </c>
      <c r="B14" s="88">
        <f>B6</f>
        <v/>
      </c>
    </row>
    <row r="15" ht="15" customHeight="1" s="54">
      <c r="A15" s="91" t="inlineStr">
        <is>
          <t>BREAK-EVEN YIELD (tonnes per ha)</t>
        </is>
      </c>
      <c r="B15" s="92">
        <f>IFERROR(B13/B14,0)</f>
        <v/>
      </c>
    </row>
    <row r="16" ht="15" customHeight="1" s="54">
      <c r="A16" s="78" t="inlineStr">
        <is>
          <t>Your expected yield (tonnes per ha)</t>
        </is>
      </c>
      <c r="B16" s="81" t="n">
        <v>5</v>
      </c>
    </row>
    <row r="17" ht="15" customHeight="1" s="54">
      <c r="A17" s="78" t="inlineStr">
        <is>
          <t>Check</t>
        </is>
      </c>
      <c r="B17" s="80">
        <f>IF(B16&gt;B15,"Expected yield is above break-even","Expected yield is BELOW break-even - change crop, price or cost")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E2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2" customWidth="1" style="53" min="1" max="1"/>
    <col width="13" customWidth="1" style="53" min="2" max="2"/>
    <col width="15" customWidth="1" style="53" min="3" max="3"/>
    <col width="16" customWidth="1" style="53" min="4" max="4"/>
    <col width="44" customWidth="1" style="53" min="5" max="5"/>
  </cols>
  <sheetData>
    <row r="1" ht="17.25" customHeight="1" s="54">
      <c r="A1" s="71" t="inlineStr">
        <is>
          <t>T-C-07  Risk Register</t>
        </is>
      </c>
    </row>
    <row r="2" ht="15" customHeight="1" s="54">
      <c r="A2" s="72" t="inlineStr">
        <is>
          <t>What could go wrong and what it would cost (Module C9).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26.25" customHeight="1" s="54">
      <c r="A5" s="73" t="inlineStr">
        <is>
          <t>Risk</t>
        </is>
      </c>
      <c r="B5" s="73" t="inlineStr">
        <is>
          <t>Likelihood (1-5)</t>
        </is>
      </c>
      <c r="C5" s="73" t="inlineStr">
        <is>
          <t>Cost if it happens</t>
        </is>
      </c>
      <c r="D5" s="73" t="inlineStr">
        <is>
          <t>Expected cost per year</t>
        </is>
      </c>
      <c r="E5" s="73" t="inlineStr">
        <is>
          <t>What I will do about it</t>
        </is>
      </c>
    </row>
    <row r="6" ht="15" customHeight="1" s="54">
      <c r="A6" s="79" t="inlineStr">
        <is>
          <t>Drought or mid-season dry spell</t>
        </is>
      </c>
      <c r="B6" s="95" t="n">
        <v>3</v>
      </c>
      <c r="C6" s="79" t="n">
        <v>1500</v>
      </c>
      <c r="D6" s="88">
        <f>IF(OR(B6="",C6=""),"",C6*B6/5)</f>
        <v/>
      </c>
      <c r="E6" s="79" t="inlineStr">
        <is>
          <t>Drip on vegetables; drought-tolerant crop on part of the land</t>
        </is>
      </c>
    </row>
    <row r="7" ht="15" customHeight="1" s="54">
      <c r="A7" s="79" t="inlineStr">
        <is>
          <t>Price falls at harvest</t>
        </is>
      </c>
      <c r="B7" s="95" t="n">
        <v>3</v>
      </c>
      <c r="C7" s="79" t="n">
        <v>800</v>
      </c>
      <c r="D7" s="88">
        <f>IF(OR(B7="",C7=""),"",C7*B7/5)</f>
        <v/>
      </c>
      <c r="E7" s="79" t="inlineStr">
        <is>
          <t>Contract part of the crop; store and sell later</t>
        </is>
      </c>
    </row>
    <row r="8" ht="15" customHeight="1" s="54">
      <c r="A8" s="79" t="inlineStr">
        <is>
          <t>Disease outbreak in poultry</t>
        </is>
      </c>
      <c r="B8" s="95" t="n">
        <v>2</v>
      </c>
      <c r="C8" s="79" t="n">
        <v>2000</v>
      </c>
      <c r="D8" s="88">
        <f>IF(OR(B8="",C8=""),"",C8*B8/5)</f>
        <v/>
      </c>
      <c r="E8" s="79" t="inlineStr">
        <is>
          <t>Biosecurity routine; vaccination schedule</t>
        </is>
      </c>
    </row>
    <row r="9" ht="15" customHeight="1" s="54">
      <c r="A9" s="79" t="inlineStr">
        <is>
          <t>Late input delivery</t>
        </is>
      </c>
      <c r="B9" s="95" t="n">
        <v>2</v>
      </c>
      <c r="C9" s="79" t="n">
        <v>600</v>
      </c>
      <c r="D9" s="88">
        <f>IF(OR(B9="",C9=""),"",C9*B9/5)</f>
        <v/>
      </c>
      <c r="E9" s="79" t="inlineStr">
        <is>
          <t>Buy seed and fertiliser two months early</t>
        </is>
      </c>
    </row>
    <row r="10" ht="15" customHeight="1" s="54">
      <c r="A10" s="79" t="inlineStr">
        <is>
          <t>Buyer pays late</t>
        </is>
      </c>
      <c r="B10" s="95" t="n">
        <v>3</v>
      </c>
      <c r="C10" s="79" t="n">
        <v>400</v>
      </c>
      <c r="D10" s="88">
        <f>IF(OR(B10="",C10=""),"",C10*B10/5)</f>
        <v/>
      </c>
      <c r="E10" s="79" t="inlineStr">
        <is>
          <t>Second buyer; agree payment terms in writing</t>
        </is>
      </c>
    </row>
    <row r="11" ht="15" customHeight="1" s="54">
      <c r="A11" s="79" t="inlineStr">
        <is>
          <t>Theft</t>
        </is>
      </c>
      <c r="B11" s="95" t="n">
        <v>2</v>
      </c>
      <c r="C11" s="79" t="n">
        <v>500</v>
      </c>
      <c r="D11" s="88">
        <f>IF(OR(B11="",C11=""),"",C11*B11/5)</f>
        <v/>
      </c>
      <c r="E11" s="79" t="inlineStr">
        <is>
          <t>Lockable store; night watch at harvest</t>
        </is>
      </c>
    </row>
    <row r="12" ht="15" customHeight="1" s="54">
      <c r="A12" s="79" t="inlineStr">
        <is>
          <t>Power cuts at the borehole</t>
        </is>
      </c>
      <c r="B12" s="95" t="n">
        <v>4</v>
      </c>
      <c r="C12" s="79" t="n">
        <v>350</v>
      </c>
      <c r="D12" s="88">
        <f>IF(OR(B12="",C12=""),"",C12*B12/5)</f>
        <v/>
      </c>
      <c r="E12" s="79" t="inlineStr">
        <is>
          <t>Solar pump or generator backup</t>
        </is>
      </c>
    </row>
    <row r="13" ht="15" customHeight="1" s="54">
      <c r="A13" s="79" t="n"/>
      <c r="B13" s="95" t="n"/>
      <c r="C13" s="79" t="n"/>
      <c r="D13" s="88">
        <f>IF(OR(B13="",C13=""),"",C13*B13/5)</f>
        <v/>
      </c>
      <c r="E13" s="79" t="n"/>
    </row>
    <row r="14" ht="15" customHeight="1" s="54">
      <c r="A14" s="79" t="n"/>
      <c r="B14" s="95" t="n"/>
      <c r="C14" s="79" t="n"/>
      <c r="D14" s="88">
        <f>IF(OR(B14="",C14=""),"",C14*B14/5)</f>
        <v/>
      </c>
      <c r="E14" s="79" t="n"/>
    </row>
    <row r="15" ht="15" customHeight="1" s="54">
      <c r="A15" s="79" t="n"/>
      <c r="B15" s="95" t="n"/>
      <c r="C15" s="79" t="n"/>
      <c r="D15" s="88">
        <f>IF(OR(B15="",C15=""),"",C15*B15/5)</f>
        <v/>
      </c>
      <c r="E15" s="79" t="n"/>
    </row>
    <row r="16"/>
    <row r="17" ht="15" customHeight="1" s="54">
      <c r="A17" s="91" t="inlineStr">
        <is>
          <t>Total expected cost of risk per year</t>
        </is>
      </c>
      <c r="B17" s="93">
        <f>SUM(D6:D15)</f>
        <v/>
      </c>
    </row>
    <row r="18"/>
    <row r="19" ht="15" customHeight="1" s="54">
      <c r="A19" s="77" t="inlineStr">
        <is>
          <t>Stress test</t>
        </is>
      </c>
    </row>
    <row r="20" ht="15" customHeight="1" s="54">
      <c r="A20" s="78" t="inlineStr">
        <is>
          <t>Gross margin per year in the plan</t>
        </is>
      </c>
      <c r="B20" s="88">
        <f>'T-C-01 Land Use'!B18</f>
        <v/>
      </c>
    </row>
    <row r="21" ht="15" customHeight="1" s="54">
      <c r="A21" s="78" t="inlineStr">
        <is>
          <t>Total income per year in the plan</t>
        </is>
      </c>
      <c r="B21" s="90" t="n">
        <v>14000</v>
      </c>
    </row>
    <row r="22" ht="15" customHeight="1" s="54">
      <c r="A22" s="78" t="inlineStr">
        <is>
          <t>Total variable costs per year in the plan</t>
        </is>
      </c>
      <c r="B22" s="90" t="n">
        <v>8500</v>
      </c>
    </row>
    <row r="23" ht="15" customHeight="1" s="54">
      <c r="A23" s="91" t="inlineStr">
        <is>
          <t>Gross margin if prices fall 20%</t>
        </is>
      </c>
      <c r="B23" s="93">
        <f>B21*0.8-B22</f>
        <v/>
      </c>
    </row>
    <row r="24" ht="15" customHeight="1" s="54">
      <c r="A24" s="91" t="inlineStr">
        <is>
          <t>Gross margin if costs rise 20%</t>
        </is>
      </c>
      <c r="B24" s="93">
        <f>B21-B22*1.2</f>
        <v/>
      </c>
    </row>
    <row r="25" ht="15" customHeight="1" s="54">
      <c r="A25" s="91" t="inlineStr">
        <is>
          <t>Gross margin if both happen</t>
        </is>
      </c>
      <c r="B25" s="93">
        <f>B21*0.8-B22*1.2</f>
        <v/>
      </c>
    </row>
    <row r="26" ht="15" customHeight="1" s="54">
      <c r="A26" s="78" t="inlineStr">
        <is>
          <t>Verdict</t>
        </is>
      </c>
      <c r="B26" s="80">
        <f>IF(B25&gt;0,"Survives the stress test","Fails the stress test - redesign before seeking finance")</f>
        <v/>
      </c>
    </row>
  </sheetData>
  <dataValidations count="1">
    <dataValidation sqref="B6:B15" showDropDown="0" showInputMessage="0" showErrorMessage="0" allowBlank="0" type="whole" errorStyle="stop" operator="between">
      <formula1>1</formula1>
      <formula2>5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 filterMode="0">
    <tabColor rgb="002E5A35"/>
    <outlinePr summaryBelow="1" summaryRight="1"/>
    <pageSetUpPr fitToPage="0"/>
  </sheetPr>
  <dimension ref="A1:E3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52" customWidth="1" style="53" min="1" max="1"/>
    <col width="18" customWidth="1" style="53" min="2" max="2"/>
    <col width="22" customWidth="1" style="53" min="3" max="3"/>
    <col width="20" customWidth="1" style="53" min="4" max="4"/>
    <col width="16" customWidth="1" style="53" min="5" max="5"/>
  </cols>
  <sheetData>
    <row r="1" ht="17.25" customHeight="1" s="54">
      <c r="A1" s="71" t="inlineStr">
        <is>
          <t>T-C-08  People and Labour Cost</t>
        </is>
      </c>
    </row>
    <row r="2" ht="15" customHeight="1" s="54">
      <c r="A2" s="72" t="inlineStr">
        <is>
          <t>What my team costs, how many local jobs I create and what reaches the community (Module C11).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26.25" customHeight="1" s="54">
      <c r="A5" s="73" t="inlineStr">
        <is>
          <t>Role</t>
        </is>
      </c>
      <c r="B5" s="73" t="inlineStr">
        <is>
          <t>Number of people</t>
        </is>
      </c>
      <c r="C5" s="73" t="inlineStr">
        <is>
          <t>Pay per person per month</t>
        </is>
      </c>
      <c r="D5" s="73" t="inlineStr">
        <is>
          <t>Months worked per year</t>
        </is>
      </c>
      <c r="E5" s="73" t="inlineStr">
        <is>
          <t>Cost per year</t>
        </is>
      </c>
    </row>
    <row r="6" ht="15" customHeight="1" s="54">
      <c r="A6" s="95" t="inlineStr">
        <is>
          <t>Permanent farm workers</t>
        </is>
      </c>
      <c r="B6" s="95" t="n">
        <v>2</v>
      </c>
      <c r="C6" s="95" t="n">
        <v>120</v>
      </c>
      <c r="D6" s="95" t="n">
        <v>12</v>
      </c>
      <c r="E6" s="103">
        <f>IF(OR(B6="",C6="",D6=""),"",B6*C6*D6)</f>
        <v/>
      </c>
    </row>
    <row r="7" ht="15" customHeight="1" s="54">
      <c r="A7" s="95" t="inlineStr">
        <is>
          <t>Seasonal pickers and packers</t>
        </is>
      </c>
      <c r="B7" s="95" t="n">
        <v>4</v>
      </c>
      <c r="C7" s="95" t="n">
        <v>100</v>
      </c>
      <c r="D7" s="95" t="n">
        <v>2</v>
      </c>
      <c r="E7" s="103">
        <f>IF(OR(B7="",C7="",D7=""),"",B7*C7*D7)</f>
        <v/>
      </c>
    </row>
    <row r="8" ht="15" customHeight="1" s="54">
      <c r="A8" s="95" t="inlineStr">
        <is>
          <t>Plant operators trained from the community</t>
        </is>
      </c>
      <c r="B8" s="95" t="n">
        <v>2</v>
      </c>
      <c r="C8" s="95" t="n">
        <v>100</v>
      </c>
      <c r="D8" s="95" t="n">
        <v>6</v>
      </c>
      <c r="E8" s="103">
        <f>IF(OR(B8="",C8="",D8=""),"",B8*C8*D8)</f>
        <v/>
      </c>
    </row>
    <row r="9" ht="15" customHeight="1" s="54">
      <c r="A9" s="95" t="inlineStr">
        <is>
          <t>Supervisor (if not the owner)</t>
        </is>
      </c>
      <c r="B9" s="95" t="n"/>
      <c r="C9" s="95" t="n"/>
      <c r="D9" s="95" t="n"/>
      <c r="E9" s="103">
        <f>IF(OR(B9="",C9="",D9=""),"",B9*C9*D9)</f>
        <v/>
      </c>
    </row>
    <row r="10" ht="15" customHeight="1" s="54">
      <c r="A10" s="95" t="n"/>
      <c r="B10" s="95" t="n"/>
      <c r="C10" s="95" t="n"/>
      <c r="D10" s="95" t="n"/>
      <c r="E10" s="103">
        <f>IF(OR(B10="",C10="",D10=""),"",B10*C10*D10)</f>
        <v/>
      </c>
    </row>
    <row r="11" ht="15" customHeight="1" s="54">
      <c r="A11" s="95" t="n"/>
      <c r="B11" s="95" t="n"/>
      <c r="C11" s="95" t="n"/>
      <c r="D11" s="95" t="n"/>
      <c r="E11" s="103">
        <f>IF(OR(B11="",C11="",D11=""),"",B11*C11*D11)</f>
        <v/>
      </c>
    </row>
    <row r="12"/>
    <row r="13" ht="15" customHeight="1" s="54">
      <c r="A13" s="91" t="inlineStr">
        <is>
          <t>Total labour bill per year</t>
        </is>
      </c>
      <c r="B13" s="103">
        <f>SUM(E6:E11)</f>
        <v/>
      </c>
    </row>
    <row r="14" ht="15" customHeight="1" s="54">
      <c r="A14" s="91" t="inlineStr">
        <is>
          <t>Labour bill per hectare</t>
        </is>
      </c>
      <c r="B14" s="103">
        <f>IF(Settings!B8&gt;0,B13/Settings!B8,"")</f>
        <v/>
      </c>
    </row>
    <row r="15"/>
    <row r="16" ht="15" customHeight="1" s="54">
      <c r="A16" s="77" t="inlineStr">
        <is>
          <t>Training and skills transfer</t>
        </is>
      </c>
    </row>
    <row r="17" ht="15" customHeight="1" s="54">
      <c r="A17" s="91" t="inlineStr">
        <is>
          <t>People trained from the community this year</t>
        </is>
      </c>
      <c r="B17" s="95" t="n">
        <v>4</v>
      </c>
    </row>
    <row r="18" ht="15" customHeight="1" s="54">
      <c r="A18" s="91" t="inlineStr">
        <is>
          <t>Training cost per person</t>
        </is>
      </c>
      <c r="B18" s="95" t="n">
        <v>40</v>
      </c>
    </row>
    <row r="19" ht="15" customHeight="1" s="54">
      <c r="A19" s="91" t="inlineStr">
        <is>
          <t>Protective clothing and tools per worker</t>
        </is>
      </c>
      <c r="B19" s="95" t="n">
        <v>25</v>
      </c>
    </row>
    <row r="20" ht="15" customHeight="1" s="54">
      <c r="A20" s="91" t="inlineStr">
        <is>
          <t>Training and safety budget per year</t>
        </is>
      </c>
      <c r="B20" s="103">
        <f>B17*B18+SUM(B6:B11)*B19</f>
        <v/>
      </c>
    </row>
    <row r="21"/>
    <row r="22" ht="15" customHeight="1" s="54">
      <c r="A22" s="77" t="inlineStr">
        <is>
          <t>Community benefit</t>
        </is>
      </c>
    </row>
    <row r="23" ht="15" customHeight="1" s="54">
      <c r="A23" s="91" t="inlineStr">
        <is>
          <t>Jobs held by people from the surrounding community</t>
        </is>
      </c>
      <c r="B23" s="95" t="n">
        <v>7</v>
      </c>
    </row>
    <row r="24" ht="15" customHeight="1" s="54">
      <c r="A24" s="91" t="inlineStr">
        <is>
          <t>Total jobs in the venture</t>
        </is>
      </c>
      <c r="B24" s="88">
        <f>SUM(B6:B11)</f>
        <v/>
      </c>
    </row>
    <row r="25" ht="15" customHeight="1" s="54">
      <c r="A25" s="91" t="inlineStr">
        <is>
          <t>Share of jobs held locally</t>
        </is>
      </c>
      <c r="B25" s="104">
        <f>IF(B24&gt;0,B23/B24,"")</f>
        <v/>
      </c>
    </row>
    <row r="26" ht="15" customHeight="1" s="54">
      <c r="A26" s="91" t="inlineStr">
        <is>
          <t>Local purchases per year (transport, meals, repairs, supplies)</t>
        </is>
      </c>
      <c r="B26" s="95" t="n">
        <v>600</v>
      </c>
    </row>
    <row r="27" ht="15" customHeight="1" s="54">
      <c r="A27" s="91" t="inlineStr">
        <is>
          <t>Direct community contribution per year (shared borehole, school, share scheme)</t>
        </is>
      </c>
      <c r="B27" s="95" t="n">
        <v>100</v>
      </c>
    </row>
    <row r="28" ht="15" customHeight="1" s="54">
      <c r="A28" s="91" t="inlineStr">
        <is>
          <t>Money reaching the community per year</t>
        </is>
      </c>
      <c r="B28" s="103">
        <f>IF(B24&gt;0,B13*B23/B24,0)+B26+B27</f>
        <v/>
      </c>
    </row>
    <row r="29"/>
    <row r="30" ht="15" customHeight="1" s="54">
      <c r="A30" s="91" t="inlineStr">
        <is>
          <t>Total people cost per year</t>
        </is>
      </c>
      <c r="B30" s="103">
        <f>B13+B20</f>
        <v/>
      </c>
    </row>
    <row r="31" ht="15" customHeight="1" s="54">
      <c r="A31" s="91" t="inlineStr">
        <is>
          <t>In plain words</t>
        </is>
      </c>
      <c r="B31" s="88">
        <f>"Your venture employs "&amp;B24&amp;" people, "&amp;TEXT(B25,"0%")&amp;" of them from the community, at a people cost of "&amp;TEXT(B30,"#,##0")&amp;" "&amp;Settings!B7&amp;" a year, and puts about "&amp;TEXT(B28,"#,##0")&amp;" "&amp;Settings!B7&amp;" a year into the community."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E4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6" customWidth="1" style="53" min="1" max="1"/>
    <col width="16" customWidth="1" style="53" min="2" max="4"/>
    <col width="30" customWidth="1" style="53" min="5" max="5"/>
  </cols>
  <sheetData>
    <row r="1" ht="17.25" customHeight="1" s="54">
      <c r="A1" s="71" t="inlineStr">
        <is>
          <t>T-M#-01  Enterprise Budget</t>
        </is>
      </c>
    </row>
    <row r="2" ht="15" customHeight="1" s="54">
      <c r="A2" s="72" t="inlineStr">
        <is>
          <t>Income, variable costs and gross margin per hectare or per unit - one budget for each activity in the venture.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Your Major</t>
        </is>
      </c>
      <c r="B5" s="80">
        <f>Settings!B9</f>
        <v/>
      </c>
    </row>
    <row r="6" ht="15" customHeight="1" s="54">
      <c r="A6" s="78" t="inlineStr">
        <is>
          <t>Activity</t>
        </is>
      </c>
      <c r="B6" s="79" t="inlineStr">
        <is>
          <t>Seed maize under contract</t>
        </is>
      </c>
    </row>
    <row r="7" ht="15" customHeight="1" s="54">
      <c r="A7" s="78" t="inlineStr">
        <is>
          <t>Unit (hectare, batch, head, sow...)</t>
        </is>
      </c>
      <c r="B7" s="79" t="inlineStr">
        <is>
          <t>hectare</t>
        </is>
      </c>
    </row>
    <row r="8" ht="15" customHeight="1" s="54">
      <c r="A8" s="78" t="inlineStr">
        <is>
          <t>Number of units</t>
        </is>
      </c>
      <c r="B8" s="81" t="n">
        <v>1</v>
      </c>
    </row>
    <row r="9"/>
    <row r="10" ht="15" customHeight="1" s="54">
      <c r="A10" s="77" t="inlineStr">
        <is>
          <t>Income per unit</t>
        </is>
      </c>
    </row>
    <row r="11" ht="26.25" customHeight="1" s="54">
      <c r="A11" s="73" t="inlineStr">
        <is>
          <t>Product</t>
        </is>
      </c>
      <c r="B11" s="73" t="inlineStr">
        <is>
          <t>Quantity per unit</t>
        </is>
      </c>
      <c r="C11" s="73" t="inlineStr">
        <is>
          <t>Unit</t>
        </is>
      </c>
      <c r="D11" s="73" t="inlineStr">
        <is>
          <t>Price</t>
        </is>
      </c>
      <c r="E11" s="73" t="inlineStr">
        <is>
          <t>Income</t>
        </is>
      </c>
    </row>
    <row r="12" ht="15" customHeight="1" s="54">
      <c r="A12" s="79" t="inlineStr">
        <is>
          <t>Seed maize delivered</t>
        </is>
      </c>
      <c r="B12" s="79" t="n">
        <v>5</v>
      </c>
      <c r="C12" s="79" t="inlineStr">
        <is>
          <t>t</t>
        </is>
      </c>
      <c r="D12" s="79" t="n">
        <v>420</v>
      </c>
      <c r="E12" s="88">
        <f>IF(OR(B12="",D12=""),0,B12*D12)</f>
        <v/>
      </c>
    </row>
    <row r="13" ht="15" customHeight="1" s="54">
      <c r="A13" s="79" t="inlineStr">
        <is>
          <t>Grain from rejects</t>
        </is>
      </c>
      <c r="B13" s="79" t="n">
        <v>0.3</v>
      </c>
      <c r="C13" s="79" t="inlineStr">
        <is>
          <t>t</t>
        </is>
      </c>
      <c r="D13" s="79" t="n">
        <v>364.75</v>
      </c>
      <c r="E13" s="88">
        <f>IF(OR(B13="",D13=""),0,B13*D13)</f>
        <v/>
      </c>
    </row>
    <row r="14" ht="15" customHeight="1" s="54">
      <c r="A14" s="79" t="n"/>
      <c r="B14" s="79" t="n"/>
      <c r="C14" s="79" t="n"/>
      <c r="D14" s="79" t="n"/>
      <c r="E14" s="88">
        <f>IF(OR(B14="",D14=""),0,B14*D14)</f>
        <v/>
      </c>
    </row>
    <row r="15" ht="15" customHeight="1" s="54">
      <c r="A15" s="79" t="n"/>
      <c r="B15" s="79" t="n"/>
      <c r="C15" s="79" t="n"/>
      <c r="D15" s="79" t="n"/>
      <c r="E15" s="88">
        <f>IF(OR(B15="",D15=""),0,B15*D15)</f>
        <v/>
      </c>
    </row>
    <row r="16" ht="15" customHeight="1" s="54">
      <c r="A16" s="91" t="inlineStr">
        <is>
          <t>Total income per unit</t>
        </is>
      </c>
      <c r="E16" s="93">
        <f>SUM(E12:E15)</f>
        <v/>
      </c>
    </row>
    <row r="17"/>
    <row r="18" ht="15" customHeight="1" s="54">
      <c r="A18" s="77" t="inlineStr">
        <is>
          <t>Variable costs per unit</t>
        </is>
      </c>
    </row>
    <row r="19" ht="15" customHeight="1" s="54">
      <c r="A19" s="73" t="inlineStr">
        <is>
          <t>Cost item</t>
        </is>
      </c>
      <c r="B19" s="73" t="inlineStr">
        <is>
          <t>Quantity</t>
        </is>
      </c>
      <c r="C19" s="73" t="inlineStr">
        <is>
          <t>Unit</t>
        </is>
      </c>
      <c r="D19" s="73" t="inlineStr">
        <is>
          <t>Price</t>
        </is>
      </c>
      <c r="E19" s="73" t="inlineStr">
        <is>
          <t>Cost</t>
        </is>
      </c>
    </row>
    <row r="20" ht="15" customHeight="1" s="54">
      <c r="A20" s="79" t="inlineStr">
        <is>
          <t>Seed</t>
        </is>
      </c>
      <c r="B20" s="79" t="n">
        <v>25</v>
      </c>
      <c r="C20" s="79" t="inlineStr">
        <is>
          <t>kg</t>
        </is>
      </c>
      <c r="D20" s="79" t="n">
        <v>3.2</v>
      </c>
      <c r="E20" s="88">
        <f>IF(OR(B20="",D20=""),0,B20*D20)</f>
        <v/>
      </c>
    </row>
    <row r="21" ht="15" customHeight="1" s="54">
      <c r="A21" s="79" t="inlineStr">
        <is>
          <t>Basal fertiliser</t>
        </is>
      </c>
      <c r="B21" s="79" t="n">
        <v>300</v>
      </c>
      <c r="C21" s="79" t="inlineStr">
        <is>
          <t>kg</t>
        </is>
      </c>
      <c r="D21" s="79" t="n">
        <v>0.85</v>
      </c>
      <c r="E21" s="88">
        <f>IF(OR(B21="",D21=""),0,B21*D21)</f>
        <v/>
      </c>
    </row>
    <row r="22" ht="15" customHeight="1" s="54">
      <c r="A22" s="79" t="inlineStr">
        <is>
          <t>Top dressing</t>
        </is>
      </c>
      <c r="B22" s="79" t="n">
        <v>250</v>
      </c>
      <c r="C22" s="79" t="inlineStr">
        <is>
          <t>kg</t>
        </is>
      </c>
      <c r="D22" s="79" t="n">
        <v>0.9</v>
      </c>
      <c r="E22" s="88">
        <f>IF(OR(B22="",D22=""),0,B22*D22)</f>
        <v/>
      </c>
    </row>
    <row r="23" ht="15" customHeight="1" s="54">
      <c r="A23" s="79" t="inlineStr">
        <is>
          <t>Herbicide and pesticide</t>
        </is>
      </c>
      <c r="B23" s="79" t="n">
        <v>1</v>
      </c>
      <c r="C23" s="79" t="inlineStr">
        <is>
          <t>lot</t>
        </is>
      </c>
      <c r="D23" s="79" t="n">
        <v>90</v>
      </c>
      <c r="E23" s="88">
        <f>IF(OR(B23="",D23=""),0,B23*D23)</f>
        <v/>
      </c>
    </row>
    <row r="24" ht="15" customHeight="1" s="54">
      <c r="A24" s="79" t="inlineStr">
        <is>
          <t>Tillage hire</t>
        </is>
      </c>
      <c r="B24" s="79" t="n">
        <v>1</v>
      </c>
      <c r="C24" s="79" t="inlineStr">
        <is>
          <t>ha</t>
        </is>
      </c>
      <c r="D24" s="79" t="n">
        <v>110</v>
      </c>
      <c r="E24" s="88">
        <f>IF(OR(B24="",D24=""),0,B24*D24)</f>
        <v/>
      </c>
    </row>
    <row r="25" ht="15" customHeight="1" s="54">
      <c r="A25" s="79" t="inlineStr">
        <is>
          <t>Labour</t>
        </is>
      </c>
      <c r="B25" s="79" t="n">
        <v>60</v>
      </c>
      <c r="C25" s="79" t="inlineStr">
        <is>
          <t>days</t>
        </is>
      </c>
      <c r="D25" s="79" t="n">
        <v>5</v>
      </c>
      <c r="E25" s="88">
        <f>IF(OR(B25="",D25=""),0,B25*D25)</f>
        <v/>
      </c>
    </row>
    <row r="26" ht="15" customHeight="1" s="54">
      <c r="A26" s="79" t="inlineStr">
        <is>
          <t>Harvesting and shelling</t>
        </is>
      </c>
      <c r="B26" s="79" t="n">
        <v>1</v>
      </c>
      <c r="C26" s="79" t="inlineStr">
        <is>
          <t>ha</t>
        </is>
      </c>
      <c r="D26" s="79" t="n">
        <v>120</v>
      </c>
      <c r="E26" s="88">
        <f>IF(OR(B26="",D26=""),0,B26*D26)</f>
        <v/>
      </c>
    </row>
    <row r="27" ht="15" customHeight="1" s="54">
      <c r="A27" s="79" t="inlineStr">
        <is>
          <t>Packing and bags</t>
        </is>
      </c>
      <c r="B27" s="79" t="n">
        <v>105</v>
      </c>
      <c r="C27" s="79" t="inlineStr">
        <is>
          <t>bags</t>
        </is>
      </c>
      <c r="D27" s="79" t="n">
        <v>0.6</v>
      </c>
      <c r="E27" s="88">
        <f>IF(OR(B27="",D27=""),0,B27*D27)</f>
        <v/>
      </c>
    </row>
    <row r="28" ht="15" customHeight="1" s="54">
      <c r="A28" s="79" t="inlineStr">
        <is>
          <t>Transport to buyer</t>
        </is>
      </c>
      <c r="B28" s="79" t="n">
        <v>5.3</v>
      </c>
      <c r="C28" s="79" t="inlineStr">
        <is>
          <t>t</t>
        </is>
      </c>
      <c r="D28" s="79" t="n">
        <v>6</v>
      </c>
      <c r="E28" s="88">
        <f>IF(OR(B28="",D28=""),0,B28*D28)</f>
        <v/>
      </c>
    </row>
    <row r="29" ht="15" customHeight="1" s="54">
      <c r="A29" s="79" t="inlineStr">
        <is>
          <t>Levies and commission</t>
        </is>
      </c>
      <c r="B29" s="79" t="n">
        <v>1</v>
      </c>
      <c r="C29" s="79" t="inlineStr">
        <is>
          <t>lot</t>
        </is>
      </c>
      <c r="D29" s="79" t="n">
        <v>15</v>
      </c>
      <c r="E29" s="88">
        <f>IF(OR(B29="",D29=""),0,B29*D29)</f>
        <v/>
      </c>
    </row>
    <row r="30" ht="15" customHeight="1" s="54">
      <c r="A30" s="79" t="n"/>
      <c r="B30" s="79" t="n"/>
      <c r="C30" s="79" t="n"/>
      <c r="D30" s="79" t="n"/>
      <c r="E30" s="88">
        <f>IF(OR(B30="",D30=""),0,B30*D30)</f>
        <v/>
      </c>
    </row>
    <row r="31" ht="15" customHeight="1" s="54">
      <c r="A31" s="79" t="n"/>
      <c r="B31" s="79" t="n"/>
      <c r="C31" s="79" t="n"/>
      <c r="D31" s="79" t="n"/>
      <c r="E31" s="88">
        <f>IF(OR(B31="",D31=""),0,B31*D31)</f>
        <v/>
      </c>
    </row>
    <row r="32" ht="15" customHeight="1" s="54">
      <c r="A32" s="91" t="inlineStr">
        <is>
          <t>Total variable costs per unit</t>
        </is>
      </c>
      <c r="E32" s="93">
        <f>SUM(E20:E31)</f>
        <v/>
      </c>
    </row>
    <row r="33"/>
    <row r="34" ht="15" customHeight="1" s="54">
      <c r="A34" s="91" t="inlineStr">
        <is>
          <t>GROSS MARGIN PER UNIT</t>
        </is>
      </c>
      <c r="E34" s="93">
        <f>E16-E32</f>
        <v/>
      </c>
    </row>
    <row r="35" ht="15" customHeight="1" s="54">
      <c r="A35" s="91" t="inlineStr">
        <is>
          <t>GROSS MARGIN FOR THE ACTIVITY</t>
        </is>
      </c>
      <c r="E35" s="93">
        <f>E34*B8</f>
        <v/>
      </c>
    </row>
    <row r="36" ht="15" customHeight="1" s="54">
      <c r="A36" s="78" t="inlineStr">
        <is>
          <t>Break-even yield of the main product (quantity per unit)</t>
        </is>
      </c>
      <c r="E36" s="89">
        <f>IFERROR((E32-SUM(E13:E15))/D12,0)</f>
        <v/>
      </c>
    </row>
    <row r="37" ht="15" customHeight="1" s="54">
      <c r="A37" s="78" t="inlineStr">
        <is>
          <t>Gross margin if price falls 20%</t>
        </is>
      </c>
      <c r="E37" s="88">
        <f>E16*0.8-E32</f>
        <v/>
      </c>
    </row>
    <row r="38" ht="15" customHeight="1" s="54">
      <c r="A38" s="78" t="inlineStr">
        <is>
          <t>Gross margin if costs rise 20%</t>
        </is>
      </c>
      <c r="E38" s="88">
        <f>E16-E32*1.2</f>
        <v/>
      </c>
    </row>
    <row r="39"/>
    <row r="40" ht="15" customHeight="1" s="54">
      <c r="A40" s="76" t="inlineStr">
        <is>
          <t>Copy this sheet (right-click the tab, Move or Copy) for each activity, and carry each gross margin per unit into T-C-01 Land Use Planner.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G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53" min="1" max="1"/>
    <col width="14" customWidth="1" style="53" min="2" max="2"/>
    <col width="12" customWidth="1" style="53" min="3" max="3"/>
    <col width="14" customWidth="1" style="53" min="4" max="6"/>
    <col width="30" customWidth="1" style="53" min="7" max="7"/>
  </cols>
  <sheetData>
    <row r="1" ht="17.25" customHeight="1" s="54">
      <c r="A1" s="71" t="inlineStr">
        <is>
          <t>T-M1/2/3-02  Input Plan per Hectare</t>
        </is>
      </c>
    </row>
    <row r="2" ht="15" customHeight="1" s="54">
      <c r="A2" s="72" t="inlineStr">
        <is>
          <t>Every input, its rate and its cost, and when it must be bought (Majors M1-M3).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94" t="inlineStr">
        <is>
          <t>Take this step: source supplies from South African suppliers on one quote through Musika.</t>
        </is>
      </c>
    </row>
    <row r="5" ht="15" customHeight="1" s="54">
      <c r="A5" s="78" t="inlineStr">
        <is>
          <t>Hectares planted</t>
        </is>
      </c>
      <c r="B5" s="81" t="n">
        <v>1</v>
      </c>
    </row>
    <row r="6"/>
    <row r="7" ht="26.25" customHeight="1" s="54">
      <c r="A7" s="73" t="inlineStr">
        <is>
          <t>Input</t>
        </is>
      </c>
      <c r="B7" s="73" t="inlineStr">
        <is>
          <t>Rate per ha</t>
        </is>
      </c>
      <c r="C7" s="73" t="inlineStr">
        <is>
          <t>Unit</t>
        </is>
      </c>
      <c r="D7" s="73" t="inlineStr">
        <is>
          <t>Price per unit</t>
        </is>
      </c>
      <c r="E7" s="73" t="inlineStr">
        <is>
          <t>Cost per ha</t>
        </is>
      </c>
      <c r="F7" s="73" t="inlineStr">
        <is>
          <t>Cost for your hectares</t>
        </is>
      </c>
      <c r="G7" s="73" t="inlineStr">
        <is>
          <t>Buy by (month)</t>
        </is>
      </c>
    </row>
    <row r="8" ht="15" customHeight="1" s="54">
      <c r="A8" s="79" t="inlineStr">
        <is>
          <t>Seed</t>
        </is>
      </c>
      <c r="B8" s="79" t="n">
        <v>25</v>
      </c>
      <c r="C8" s="79" t="inlineStr">
        <is>
          <t>kg</t>
        </is>
      </c>
      <c r="D8" s="79" t="n">
        <v>3.2</v>
      </c>
      <c r="E8" s="88">
        <f>IF(OR(B8="",D8=""),0,B8*D8)</f>
        <v/>
      </c>
      <c r="F8" s="88">
        <f>E8*$B$5</f>
        <v/>
      </c>
      <c r="G8" s="79" t="inlineStr">
        <is>
          <t>Aug</t>
        </is>
      </c>
    </row>
    <row r="9" ht="15" customHeight="1" s="54">
      <c r="A9" s="79" t="inlineStr">
        <is>
          <t>Inoculant (legumes only)</t>
        </is>
      </c>
      <c r="B9" s="79" t="n">
        <v>0</v>
      </c>
      <c r="C9" s="79" t="inlineStr">
        <is>
          <t>sachet</t>
        </is>
      </c>
      <c r="D9" s="79" t="n">
        <v>4</v>
      </c>
      <c r="E9" s="88">
        <f>IF(OR(B9="",D9=""),0,B9*D9)</f>
        <v/>
      </c>
      <c r="F9" s="88">
        <f>E9*$B$5</f>
        <v/>
      </c>
      <c r="G9" s="79" t="inlineStr">
        <is>
          <t>Oct</t>
        </is>
      </c>
    </row>
    <row r="10" ht="15" customHeight="1" s="54">
      <c r="A10" s="79" t="inlineStr">
        <is>
          <t>Basal fertiliser</t>
        </is>
      </c>
      <c r="B10" s="79" t="n">
        <v>300</v>
      </c>
      <c r="C10" s="79" t="inlineStr">
        <is>
          <t>kg</t>
        </is>
      </c>
      <c r="D10" s="79" t="n">
        <v>0.85</v>
      </c>
      <c r="E10" s="88">
        <f>IF(OR(B10="",D10=""),0,B10*D10)</f>
        <v/>
      </c>
      <c r="F10" s="88">
        <f>E10*$B$5</f>
        <v/>
      </c>
      <c r="G10" s="79" t="inlineStr">
        <is>
          <t>Sep</t>
        </is>
      </c>
    </row>
    <row r="11" ht="15" customHeight="1" s="54">
      <c r="A11" s="79" t="inlineStr">
        <is>
          <t>Top dressing</t>
        </is>
      </c>
      <c r="B11" s="79" t="n">
        <v>250</v>
      </c>
      <c r="C11" s="79" t="inlineStr">
        <is>
          <t>kg</t>
        </is>
      </c>
      <c r="D11" s="79" t="n">
        <v>0.9</v>
      </c>
      <c r="E11" s="88">
        <f>IF(OR(B11="",D11=""),0,B11*D11)</f>
        <v/>
      </c>
      <c r="F11" s="88">
        <f>E11*$B$5</f>
        <v/>
      </c>
      <c r="G11" s="79" t="inlineStr">
        <is>
          <t>Nov</t>
        </is>
      </c>
    </row>
    <row r="12" ht="15" customHeight="1" s="54">
      <c r="A12" s="79" t="inlineStr">
        <is>
          <t>Lime</t>
        </is>
      </c>
      <c r="B12" s="79" t="n">
        <v>0</v>
      </c>
      <c r="C12" s="79" t="inlineStr">
        <is>
          <t>kg</t>
        </is>
      </c>
      <c r="D12" s="79" t="n">
        <v>0.08</v>
      </c>
      <c r="E12" s="88">
        <f>IF(OR(B12="",D12=""),0,B12*D12)</f>
        <v/>
      </c>
      <c r="F12" s="88">
        <f>E12*$B$5</f>
        <v/>
      </c>
      <c r="G12" s="79" t="inlineStr">
        <is>
          <t>Aug</t>
        </is>
      </c>
    </row>
    <row r="13" ht="15" customHeight="1" s="54">
      <c r="A13" s="79" t="inlineStr">
        <is>
          <t>Herbicide</t>
        </is>
      </c>
      <c r="B13" s="79" t="n">
        <v>3</v>
      </c>
      <c r="C13" s="79" t="inlineStr">
        <is>
          <t>litre</t>
        </is>
      </c>
      <c r="D13" s="79" t="n">
        <v>12</v>
      </c>
      <c r="E13" s="88">
        <f>IF(OR(B13="",D13=""),0,B13*D13)</f>
        <v/>
      </c>
      <c r="F13" s="88">
        <f>E13*$B$5</f>
        <v/>
      </c>
      <c r="G13" s="79" t="inlineStr">
        <is>
          <t>Oct</t>
        </is>
      </c>
    </row>
    <row r="14" ht="15" customHeight="1" s="54">
      <c r="A14" s="79" t="inlineStr">
        <is>
          <t>Insecticide</t>
        </is>
      </c>
      <c r="B14" s="79" t="n">
        <v>1</v>
      </c>
      <c r="C14" s="79" t="inlineStr">
        <is>
          <t>litre</t>
        </is>
      </c>
      <c r="D14" s="79" t="n">
        <v>25</v>
      </c>
      <c r="E14" s="88">
        <f>IF(OR(B14="",D14=""),0,B14*D14)</f>
        <v/>
      </c>
      <c r="F14" s="88">
        <f>E14*$B$5</f>
        <v/>
      </c>
      <c r="G14" s="79" t="inlineStr">
        <is>
          <t>Dec</t>
        </is>
      </c>
    </row>
    <row r="15" ht="15" customHeight="1" s="54">
      <c r="A15" s="79" t="inlineStr">
        <is>
          <t>Tillage hire</t>
        </is>
      </c>
      <c r="B15" s="79" t="n">
        <v>1</v>
      </c>
      <c r="C15" s="79" t="inlineStr">
        <is>
          <t>ha</t>
        </is>
      </c>
      <c r="D15" s="79" t="n">
        <v>110</v>
      </c>
      <c r="E15" s="88">
        <f>IF(OR(B15="",D15=""),0,B15*D15)</f>
        <v/>
      </c>
      <c r="F15" s="88">
        <f>E15*$B$5</f>
        <v/>
      </c>
      <c r="G15" s="79" t="inlineStr">
        <is>
          <t>Oct</t>
        </is>
      </c>
    </row>
    <row r="16" ht="15" customHeight="1" s="54">
      <c r="A16" s="79" t="inlineStr">
        <is>
          <t>Planting labour</t>
        </is>
      </c>
      <c r="B16" s="79" t="n">
        <v>8</v>
      </c>
      <c r="C16" s="79" t="inlineStr">
        <is>
          <t>days</t>
        </is>
      </c>
      <c r="D16" s="79" t="n">
        <v>5</v>
      </c>
      <c r="E16" s="88">
        <f>IF(OR(B16="",D16=""),0,B16*D16)</f>
        <v/>
      </c>
      <c r="F16" s="88">
        <f>E16*$B$5</f>
        <v/>
      </c>
      <c r="G16" s="79" t="inlineStr">
        <is>
          <t>Nov</t>
        </is>
      </c>
    </row>
    <row r="17" ht="15" customHeight="1" s="54">
      <c r="A17" s="79" t="inlineStr">
        <is>
          <t>Weeding labour</t>
        </is>
      </c>
      <c r="B17" s="79" t="n">
        <v>20</v>
      </c>
      <c r="C17" s="79" t="inlineStr">
        <is>
          <t>days</t>
        </is>
      </c>
      <c r="D17" s="79" t="n">
        <v>5</v>
      </c>
      <c r="E17" s="88">
        <f>IF(OR(B17="",D17=""),0,B17*D17)</f>
        <v/>
      </c>
      <c r="F17" s="88">
        <f>E17*$B$5</f>
        <v/>
      </c>
      <c r="G17" s="79" t="inlineStr">
        <is>
          <t>Dec</t>
        </is>
      </c>
    </row>
    <row r="18"/>
    <row r="19" ht="15" customHeight="1" s="54">
      <c r="A19" s="91" t="inlineStr">
        <is>
          <t>Total input cost per ha</t>
        </is>
      </c>
      <c r="E19" s="93">
        <f>SUM(E8:E17)</f>
        <v/>
      </c>
      <c r="F19" s="93">
        <f>SUM(F8:F17)</f>
        <v/>
      </c>
    </row>
    <row r="20"/>
    <row r="21" ht="15" customHeight="1" s="54">
      <c r="A21" s="76" t="inlineStr">
        <is>
          <t>This is the cash you need in hand before planting. Carry the total into T-C-04 Cash Flow in the months shown.</t>
        </is>
      </c>
    </row>
  </sheetData>
  <hyperlinks>
    <hyperlink xmlns:r="http://schemas.openxmlformats.org/officeDocument/2006/relationships" ref="A4" display="Take this step: source supplies from South African suppliers on one quote through Musika.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2"/>
</worksheet>
</file>

<file path=xl/worksheets/sheet17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G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53" min="1" max="1"/>
    <col width="14" customWidth="1" style="53" min="2" max="2"/>
    <col width="12" customWidth="1" style="53" min="3" max="3"/>
    <col width="14" customWidth="1" style="53" min="4" max="6"/>
    <col width="30" customWidth="1" style="53" min="7" max="7"/>
  </cols>
  <sheetData>
    <row r="1" ht="17.25" customHeight="1" s="54">
      <c r="A1" s="71" t="inlineStr">
        <is>
          <t>T-M7/8-03  Seed and Input Plan</t>
        </is>
      </c>
    </row>
    <row r="2" ht="15" customHeight="1" s="54">
      <c r="A2" s="72" t="inlineStr">
        <is>
          <t>Seed, seedlings and inputs per hectare (Majors M7 Potato and M8 Fresh Vegetables).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Hectares planted</t>
        </is>
      </c>
      <c r="B5" s="81" t="n">
        <v>1</v>
      </c>
    </row>
    <row r="6"/>
    <row r="7" ht="26.25" customHeight="1" s="54">
      <c r="A7" s="73" t="inlineStr">
        <is>
          <t>Input</t>
        </is>
      </c>
      <c r="B7" s="73" t="inlineStr">
        <is>
          <t>Rate per ha</t>
        </is>
      </c>
      <c r="C7" s="73" t="inlineStr">
        <is>
          <t>Unit</t>
        </is>
      </c>
      <c r="D7" s="73" t="inlineStr">
        <is>
          <t>Price per unit</t>
        </is>
      </c>
      <c r="E7" s="73" t="inlineStr">
        <is>
          <t>Cost per ha</t>
        </is>
      </c>
      <c r="F7" s="73" t="inlineStr">
        <is>
          <t>Cost for your hectares</t>
        </is>
      </c>
      <c r="G7" s="73" t="inlineStr">
        <is>
          <t>Buy by (month)</t>
        </is>
      </c>
    </row>
    <row r="8" ht="15" customHeight="1" s="54">
      <c r="A8" s="79" t="inlineStr">
        <is>
          <t>Certified seed potato</t>
        </is>
      </c>
      <c r="B8" s="79" t="n">
        <v>2.5</v>
      </c>
      <c r="C8" s="79" t="inlineStr">
        <is>
          <t>t</t>
        </is>
      </c>
      <c r="D8" s="79" t="n">
        <v>650</v>
      </c>
      <c r="E8" s="88">
        <f>IF(OR(B8="",D8=""),0,B8*D8)</f>
        <v/>
      </c>
      <c r="F8" s="88">
        <f>E8*$B$5</f>
        <v/>
      </c>
      <c r="G8" s="79" t="inlineStr">
        <is>
          <t>Jul</t>
        </is>
      </c>
    </row>
    <row r="9" ht="15" customHeight="1" s="54">
      <c r="A9" s="79" t="inlineStr">
        <is>
          <t>Basal fertiliser</t>
        </is>
      </c>
      <c r="B9" s="79" t="n">
        <v>1000</v>
      </c>
      <c r="C9" s="79" t="inlineStr">
        <is>
          <t>kg</t>
        </is>
      </c>
      <c r="D9" s="79" t="n">
        <v>0.9</v>
      </c>
      <c r="E9" s="88">
        <f>IF(OR(B9="",D9=""),0,B9*D9)</f>
        <v/>
      </c>
      <c r="F9" s="88">
        <f>E9*$B$5</f>
        <v/>
      </c>
      <c r="G9" s="79" t="inlineStr">
        <is>
          <t>Jul</t>
        </is>
      </c>
    </row>
    <row r="10" ht="15" customHeight="1" s="54">
      <c r="A10" s="79" t="inlineStr">
        <is>
          <t>Top dressing</t>
        </is>
      </c>
      <c r="B10" s="79" t="n">
        <v>300</v>
      </c>
      <c r="C10" s="79" t="inlineStr">
        <is>
          <t>kg</t>
        </is>
      </c>
      <c r="D10" s="79" t="n">
        <v>0.95</v>
      </c>
      <c r="E10" s="88">
        <f>IF(OR(B10="",D10=""),0,B10*D10)</f>
        <v/>
      </c>
      <c r="F10" s="88">
        <f>E10*$B$5</f>
        <v/>
      </c>
      <c r="G10" s="79" t="inlineStr">
        <is>
          <t>Aug</t>
        </is>
      </c>
    </row>
    <row r="11" ht="15" customHeight="1" s="54">
      <c r="A11" s="79" t="inlineStr">
        <is>
          <t>Fungicide programme</t>
        </is>
      </c>
      <c r="B11" s="79" t="n">
        <v>8</v>
      </c>
      <c r="C11" s="79" t="inlineStr">
        <is>
          <t>sprays</t>
        </is>
      </c>
      <c r="D11" s="79" t="n">
        <v>35</v>
      </c>
      <c r="E11" s="88">
        <f>IF(OR(B11="",D11=""),0,B11*D11)</f>
        <v/>
      </c>
      <c r="F11" s="88">
        <f>E11*$B$5</f>
        <v/>
      </c>
      <c r="G11" s="79" t="inlineStr">
        <is>
          <t>Aug</t>
        </is>
      </c>
    </row>
    <row r="12" ht="15" customHeight="1" s="54">
      <c r="A12" s="79" t="inlineStr">
        <is>
          <t>Insecticide</t>
        </is>
      </c>
      <c r="B12" s="79" t="n">
        <v>3</v>
      </c>
      <c r="C12" s="79" t="inlineStr">
        <is>
          <t>sprays</t>
        </is>
      </c>
      <c r="D12" s="79" t="n">
        <v>25</v>
      </c>
      <c r="E12" s="88">
        <f>IF(OR(B12="",D12=""),0,B12*D12)</f>
        <v/>
      </c>
      <c r="F12" s="88">
        <f>E12*$B$5</f>
        <v/>
      </c>
      <c r="G12" s="79" t="inlineStr">
        <is>
          <t>Sep</t>
        </is>
      </c>
    </row>
    <row r="13" ht="15" customHeight="1" s="54">
      <c r="A13" s="79" t="inlineStr">
        <is>
          <t>Irrigation power</t>
        </is>
      </c>
      <c r="B13" s="79" t="n">
        <v>1</v>
      </c>
      <c r="C13" s="79" t="inlineStr">
        <is>
          <t>season</t>
        </is>
      </c>
      <c r="D13" s="79" t="n">
        <v>300</v>
      </c>
      <c r="E13" s="88">
        <f>IF(OR(B13="",D13=""),0,B13*D13)</f>
        <v/>
      </c>
      <c r="F13" s="88">
        <f>E13*$B$5</f>
        <v/>
      </c>
      <c r="G13" s="79" t="inlineStr">
        <is>
          <t>Jul</t>
        </is>
      </c>
    </row>
    <row r="14" ht="15" customHeight="1" s="54">
      <c r="A14" s="79" t="inlineStr">
        <is>
          <t>Planting labour</t>
        </is>
      </c>
      <c r="B14" s="79" t="n">
        <v>30</v>
      </c>
      <c r="C14" s="79" t="inlineStr">
        <is>
          <t>days</t>
        </is>
      </c>
      <c r="D14" s="79" t="n">
        <v>5</v>
      </c>
      <c r="E14" s="88">
        <f>IF(OR(B14="",D14=""),0,B14*D14)</f>
        <v/>
      </c>
      <c r="F14" s="88">
        <f>E14*$B$5</f>
        <v/>
      </c>
      <c r="G14" s="79" t="inlineStr">
        <is>
          <t>Jul</t>
        </is>
      </c>
    </row>
    <row r="15" ht="15" customHeight="1" s="54">
      <c r="A15" s="79" t="inlineStr">
        <is>
          <t>Harvest labour</t>
        </is>
      </c>
      <c r="B15" s="79" t="n">
        <v>60</v>
      </c>
      <c r="C15" s="79" t="inlineStr">
        <is>
          <t>days</t>
        </is>
      </c>
      <c r="D15" s="79" t="n">
        <v>5</v>
      </c>
      <c r="E15" s="88">
        <f>IF(OR(B15="",D15=""),0,B15*D15)</f>
        <v/>
      </c>
      <c r="F15" s="88">
        <f>E15*$B$5</f>
        <v/>
      </c>
      <c r="G15" s="79" t="inlineStr">
        <is>
          <t>Oct</t>
        </is>
      </c>
    </row>
    <row r="16" ht="15" customHeight="1" s="54">
      <c r="A16" s="79" t="inlineStr">
        <is>
          <t>Pockets or bags</t>
        </is>
      </c>
      <c r="B16" s="79" t="n">
        <v>2000</v>
      </c>
      <c r="C16" s="79" t="inlineStr">
        <is>
          <t>bags</t>
        </is>
      </c>
      <c r="D16" s="79" t="n">
        <v>0.25</v>
      </c>
      <c r="E16" s="88">
        <f>IF(OR(B16="",D16=""),0,B16*D16)</f>
        <v/>
      </c>
      <c r="F16" s="88">
        <f>E16*$B$5</f>
        <v/>
      </c>
      <c r="G16" s="79" t="inlineStr">
        <is>
          <t>Oct</t>
        </is>
      </c>
    </row>
    <row r="17" ht="15" customHeight="1" s="54">
      <c r="A17" s="79" t="n"/>
      <c r="B17" s="79" t="n"/>
      <c r="C17" s="79" t="n"/>
      <c r="D17" s="79" t="n"/>
      <c r="E17" s="88">
        <f>IF(OR(B17="",D17=""),0,B17*D17)</f>
        <v/>
      </c>
      <c r="F17" s="88">
        <f>E17*$B$5</f>
        <v/>
      </c>
      <c r="G17" s="79" t="n"/>
    </row>
    <row r="18"/>
    <row r="19" ht="15" customHeight="1" s="54">
      <c r="A19" s="91" t="inlineStr">
        <is>
          <t>Total input cost per ha</t>
        </is>
      </c>
      <c r="E19" s="93">
        <f>SUM(E8:E17)</f>
        <v/>
      </c>
      <c r="F19" s="93">
        <f>SUM(F8:F17)</f>
        <v/>
      </c>
    </row>
    <row r="20"/>
    <row r="21" ht="15" customHeight="1" s="54">
      <c r="A21" s="76" t="inlineStr">
        <is>
          <t>This is the cash you need in hand before planting. Carry the total into T-C-04 Cash Flow in the months shown.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D1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53" min="1" max="1"/>
    <col width="16" customWidth="1" style="53" min="2" max="4"/>
  </cols>
  <sheetData>
    <row r="1" ht="17.25" customHeight="1" s="54">
      <c r="A1" s="71" t="inlineStr">
        <is>
          <t>T-M1/2/3-03  Yield-to-Income Calculator</t>
        </is>
      </c>
    </row>
    <row r="2" ht="15" customHeight="1" s="54">
      <c r="A2" s="72" t="inlineStr">
        <is>
          <t>What your hectares earn at a poor, average and good yield (Majors M1-M3).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Hectares</t>
        </is>
      </c>
      <c r="B5" s="81" t="n">
        <v>2</v>
      </c>
    </row>
    <row r="6" ht="15" customHeight="1" s="54">
      <c r="A6" s="78" t="inlineStr">
        <is>
          <t>Price per tonne</t>
        </is>
      </c>
      <c r="B6" s="90" t="n">
        <v>364.75</v>
      </c>
    </row>
    <row r="7" ht="15" customHeight="1" s="54">
      <c r="A7" s="78" t="inlineStr">
        <is>
          <t>Total cost per hectare</t>
        </is>
      </c>
      <c r="B7" s="90" t="n">
        <v>1250</v>
      </c>
    </row>
    <row r="8"/>
    <row r="9" ht="15" customHeight="1" s="54">
      <c r="A9" s="73" t="n"/>
      <c r="B9" s="73" t="inlineStr">
        <is>
          <t>Poor</t>
        </is>
      </c>
      <c r="C9" s="73" t="inlineStr">
        <is>
          <t>Average</t>
        </is>
      </c>
      <c r="D9" s="73" t="inlineStr">
        <is>
          <t>Good</t>
        </is>
      </c>
    </row>
    <row r="10" ht="15" customHeight="1" s="54">
      <c r="A10" s="78" t="inlineStr">
        <is>
          <t>Yield (tonnes per ha)</t>
        </is>
      </c>
      <c r="B10" s="81" t="n">
        <v>1.5</v>
      </c>
      <c r="C10" s="81" t="n">
        <v>3.5</v>
      </c>
      <c r="D10" s="81" t="n">
        <v>6</v>
      </c>
    </row>
    <row r="11" ht="15" customHeight="1" s="54">
      <c r="A11" s="78" t="inlineStr">
        <is>
          <t>Income per ha</t>
        </is>
      </c>
      <c r="B11" s="88">
        <f>B10*$B$6</f>
        <v/>
      </c>
      <c r="C11" s="88">
        <f>C10*$B$6</f>
        <v/>
      </c>
      <c r="D11" s="88">
        <f>D10*$B$6</f>
        <v/>
      </c>
    </row>
    <row r="12" ht="15" customHeight="1" s="54">
      <c r="A12" s="78" t="inlineStr">
        <is>
          <t>Margin per ha</t>
        </is>
      </c>
      <c r="B12" s="88">
        <f>B11-$B$7</f>
        <v/>
      </c>
      <c r="C12" s="88">
        <f>C11-$B$7</f>
        <v/>
      </c>
      <c r="D12" s="88">
        <f>D11-$B$7</f>
        <v/>
      </c>
    </row>
    <row r="13" ht="15" customHeight="1" s="54">
      <c r="A13" s="78" t="inlineStr">
        <is>
          <t>Income for your land</t>
        </is>
      </c>
      <c r="B13" s="88">
        <f>B11*$B$5</f>
        <v/>
      </c>
      <c r="C13" s="88">
        <f>C11*$B$5</f>
        <v/>
      </c>
      <c r="D13" s="88">
        <f>D11*$B$5</f>
        <v/>
      </c>
    </row>
    <row r="14" ht="15" customHeight="1" s="54">
      <c r="A14" s="91" t="inlineStr">
        <is>
          <t>Margin for your land</t>
        </is>
      </c>
      <c r="B14" s="93">
        <f>B12*$B$5</f>
        <v/>
      </c>
      <c r="C14" s="93">
        <f>C12*$B$5</f>
        <v/>
      </c>
      <c r="D14" s="93">
        <f>D12*$B$5</f>
        <v/>
      </c>
    </row>
    <row r="15"/>
    <row r="16" ht="15" customHeight="1" s="54">
      <c r="A16" s="91" t="inlineStr">
        <is>
          <t>Break-even yield (tonnes per ha)</t>
        </is>
      </c>
      <c r="B16" s="92">
        <f>IFERROR(B7/B6,0)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1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0" customWidth="1" style="53" min="1" max="1"/>
    <col width="16" customWidth="1" style="53" min="2" max="2"/>
  </cols>
  <sheetData>
    <row r="1" ht="17.25" customHeight="1" s="54">
      <c r="A1" s="71" t="inlineStr">
        <is>
          <t>T-M1/2/3-04  Storage versus Sell-at-Harvest</t>
        </is>
      </c>
    </row>
    <row r="2" ht="15" customHeight="1" s="54">
      <c r="A2" s="72" t="inlineStr">
        <is>
          <t>Whether holding the crop pays more than selling at harvest (Majors M1-M3).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Tonnes harvested</t>
        </is>
      </c>
      <c r="B5" s="81" t="n">
        <v>10</v>
      </c>
    </row>
    <row r="6" ht="15" customHeight="1" s="54">
      <c r="A6" s="78" t="inlineStr">
        <is>
          <t>Price per tonne at harvest</t>
        </is>
      </c>
      <c r="B6" s="90" t="n">
        <v>364.75</v>
      </c>
    </row>
    <row r="7" ht="15" customHeight="1" s="54">
      <c r="A7" s="78" t="inlineStr">
        <is>
          <t>Expected price per tonne later</t>
        </is>
      </c>
      <c r="B7" s="90" t="n">
        <v>410</v>
      </c>
    </row>
    <row r="8" ht="15" customHeight="1" s="54">
      <c r="A8" s="78" t="inlineStr">
        <is>
          <t>Months held</t>
        </is>
      </c>
      <c r="B8" s="95" t="n">
        <v>5</v>
      </c>
    </row>
    <row r="9" ht="15" customHeight="1" s="54">
      <c r="A9" s="78" t="inlineStr">
        <is>
          <t>Storage cost per tonne per month</t>
        </is>
      </c>
      <c r="B9" s="90" t="n">
        <v>3</v>
      </c>
    </row>
    <row r="10" ht="15" customHeight="1" s="54">
      <c r="A10" s="78" t="inlineStr">
        <is>
          <t>Storage loss (% of tonnes)</t>
        </is>
      </c>
      <c r="B10" s="98" t="n">
        <v>0.03</v>
      </c>
    </row>
    <row r="11" ht="15" customHeight="1" s="54">
      <c r="A11" s="78" t="inlineStr">
        <is>
          <t>Interest rate per year (cost of waiting)</t>
        </is>
      </c>
      <c r="B11" s="98" t="n">
        <v>0.18</v>
      </c>
    </row>
    <row r="12"/>
    <row r="13" ht="15" customHeight="1" s="54">
      <c r="A13" s="78" t="inlineStr">
        <is>
          <t>Income if sold at harvest</t>
        </is>
      </c>
      <c r="B13" s="88">
        <f>B5*B6</f>
        <v/>
      </c>
    </row>
    <row r="14" ht="15" customHeight="1" s="54">
      <c r="A14" s="78" t="inlineStr">
        <is>
          <t>Income if sold later</t>
        </is>
      </c>
      <c r="B14" s="88">
        <f>B5*(1-B10)*B7</f>
        <v/>
      </c>
    </row>
    <row r="15" ht="15" customHeight="1" s="54">
      <c r="A15" s="78" t="inlineStr">
        <is>
          <t>Storage cost</t>
        </is>
      </c>
      <c r="B15" s="88">
        <f>B5*B9*B8</f>
        <v/>
      </c>
    </row>
    <row r="16" ht="15" customHeight="1" s="54">
      <c r="A16" s="78" t="inlineStr">
        <is>
          <t>Cost of waiting for the money</t>
        </is>
      </c>
      <c r="B16" s="88">
        <f>B13*B11*B8/12</f>
        <v/>
      </c>
    </row>
    <row r="17" ht="15" customHeight="1" s="54">
      <c r="A17" s="91" t="inlineStr">
        <is>
          <t>GAIN FROM STORING</t>
        </is>
      </c>
      <c r="B17" s="93">
        <f>B14-B15-B16-B13</f>
        <v/>
      </c>
    </row>
    <row r="18" ht="15" customHeight="1" s="54">
      <c r="A18" s="91" t="inlineStr">
        <is>
          <t>Verdict</t>
        </is>
      </c>
      <c r="B18" s="101">
        <f>IF(B17&gt;0,"Storing pays","Sell at harvest")</f>
        <v/>
      </c>
    </row>
    <row r="19" ht="15" customHeight="1" s="54">
      <c r="A19" s="78" t="inlineStr">
        <is>
          <t>Price needed later just to break even</t>
        </is>
      </c>
      <c r="B19" s="88">
        <f>IFERROR((B13+B15+B16)/(B5*(1-B10)),0)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2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8" customWidth="1" style="53" min="1" max="1"/>
    <col width="16" customWidth="1" style="53" min="2" max="3"/>
  </cols>
  <sheetData>
    <row r="1" ht="17.25" customHeight="1" s="54">
      <c r="A1" s="71" t="inlineStr">
        <is>
          <t>T-M4/5/6-02, T-M17/18/19/20-02  Orchard and Establishment Cost</t>
        </is>
      </c>
    </row>
    <row r="2" ht="15" customHeight="1" s="54">
      <c r="A2" s="72" t="inlineStr">
        <is>
          <t>What it costs to plant a perennial crop and carry it until it bears (Majors M4-M6, M17-M20).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Hectares</t>
        </is>
      </c>
      <c r="B5" s="81" t="n">
        <v>1</v>
      </c>
    </row>
    <row r="6" ht="15" customHeight="1" s="54">
      <c r="A6" s="78" t="inlineStr">
        <is>
          <t>Plants per hectare</t>
        </is>
      </c>
      <c r="B6" s="95" t="n">
        <v>400</v>
      </c>
    </row>
    <row r="7" ht="15" customHeight="1" s="54">
      <c r="A7" s="78" t="inlineStr">
        <is>
          <t>Cost per plant or tree</t>
        </is>
      </c>
      <c r="B7" s="90" t="n">
        <v>6</v>
      </c>
    </row>
    <row r="8" ht="15" customHeight="1" s="54">
      <c r="A8" s="78" t="inlineStr">
        <is>
          <t>Land preparation per ha</t>
        </is>
      </c>
      <c r="B8" s="90" t="n">
        <v>350</v>
      </c>
    </row>
    <row r="9" ht="15" customHeight="1" s="54">
      <c r="A9" s="78" t="inlineStr">
        <is>
          <t>Irrigation per ha</t>
        </is>
      </c>
      <c r="B9" s="90" t="n">
        <v>2500</v>
      </c>
    </row>
    <row r="10" ht="15" customHeight="1" s="54">
      <c r="A10" s="78" t="inlineStr">
        <is>
          <t>Fencing and windbreaks per ha</t>
        </is>
      </c>
      <c r="B10" s="90" t="n">
        <v>800</v>
      </c>
    </row>
    <row r="11" ht="15" customHeight="1" s="54">
      <c r="A11" s="78" t="inlineStr">
        <is>
          <t>Trellis, netting or support per ha</t>
        </is>
      </c>
      <c r="B11" s="90" t="n">
        <v>0</v>
      </c>
    </row>
    <row r="12" ht="15" customHeight="1" s="54">
      <c r="A12" s="78" t="inlineStr">
        <is>
          <t>Licences and royalties per ha</t>
        </is>
      </c>
      <c r="B12" s="90" t="n">
        <v>0</v>
      </c>
    </row>
    <row r="13" ht="15" customHeight="1" s="54">
      <c r="A13" s="78" t="inlineStr">
        <is>
          <t>Planting labour per ha</t>
        </is>
      </c>
      <c r="B13" s="90" t="n">
        <v>150</v>
      </c>
    </row>
    <row r="14" ht="15" customHeight="1" s="54">
      <c r="A14" s="91" t="inlineStr">
        <is>
          <t>Establishment cost per ha</t>
        </is>
      </c>
      <c r="B14" s="93">
        <f>B6*B7+SUM(B8:B13)</f>
        <v/>
      </c>
    </row>
    <row r="15" ht="15" customHeight="1" s="54">
      <c r="A15" s="91" t="inlineStr">
        <is>
          <t>ESTABLISHMENT COST FOR YOUR HECTARES</t>
        </is>
      </c>
      <c r="B15" s="93">
        <f>B14*B5</f>
        <v/>
      </c>
    </row>
    <row r="16"/>
    <row r="17" ht="15" customHeight="1" s="54">
      <c r="A17" s="78" t="inlineStr">
        <is>
          <t>Annual maintenance per ha before bearing</t>
        </is>
      </c>
      <c r="B17" s="90" t="n">
        <v>900</v>
      </c>
    </row>
    <row r="18" ht="15" customHeight="1" s="54">
      <c r="A18" s="78" t="inlineStr">
        <is>
          <t>Years before first meaningful harvest</t>
        </is>
      </c>
      <c r="B18" s="95" t="n">
        <v>3</v>
      </c>
    </row>
    <row r="19" ht="15" customHeight="1" s="54">
      <c r="A19" s="78" t="inlineStr">
        <is>
          <t>Maintenance carried before first harvest</t>
        </is>
      </c>
      <c r="B19" s="88">
        <f>B17*B18*B5</f>
        <v/>
      </c>
    </row>
    <row r="20" ht="15" customHeight="1" s="54">
      <c r="A20" s="91" t="inlineStr">
        <is>
          <t>TOTAL TO FUND BEFORE FIRST INCOME</t>
        </is>
      </c>
      <c r="B20" s="93">
        <f>B15+B19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F2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8" customWidth="1" style="53" min="1" max="1"/>
    <col width="16" customWidth="1" style="53" min="2" max="7"/>
  </cols>
  <sheetData>
    <row r="1" ht="17.25" customHeight="1" s="54">
      <c r="A1" s="71" t="inlineStr">
        <is>
          <t>T-M4/5/6-03  Years-to-First-Income</t>
        </is>
      </c>
    </row>
    <row r="2" ht="15" customHeight="1" s="54">
      <c r="A2" s="72" t="inlineStr">
        <is>
          <t>When the orchard pays back what it cost (Majors M4-M6).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Hectares</t>
        </is>
      </c>
      <c r="B5" s="89">
        <f>'Establishment Cost'!B5</f>
        <v/>
      </c>
    </row>
    <row r="6" ht="15" customHeight="1" s="54">
      <c r="A6" s="78" t="inlineStr">
        <is>
          <t>Full-bearing yield (tonnes per ha)</t>
        </is>
      </c>
      <c r="B6" s="105" t="n">
        <v>30</v>
      </c>
    </row>
    <row r="7" ht="15" customHeight="1" s="54">
      <c r="A7" s="78" t="inlineStr">
        <is>
          <t>Price per tonne at the farm gate</t>
        </is>
      </c>
      <c r="B7" s="90" t="n">
        <v>350</v>
      </c>
    </row>
    <row r="8" ht="15" customHeight="1" s="54">
      <c r="A8" s="78" t="inlineStr">
        <is>
          <t>Running cost per ha once bearing</t>
        </is>
      </c>
      <c r="B8" s="90" t="n">
        <v>4500</v>
      </c>
    </row>
    <row r="9" ht="15" customHeight="1" s="54">
      <c r="A9" s="78" t="inlineStr">
        <is>
          <t>Establishment cost (year 0)</t>
        </is>
      </c>
      <c r="B9" s="88">
        <f>'Establishment Cost'!B15</f>
        <v/>
      </c>
    </row>
    <row r="10"/>
    <row r="11" ht="26.25" customHeight="1" s="54">
      <c r="A11" s="73" t="inlineStr">
        <is>
          <t>Year</t>
        </is>
      </c>
      <c r="B11" s="73" t="inlineStr">
        <is>
          <t>Yield (% of full)</t>
        </is>
      </c>
      <c r="C11" s="73" t="inlineStr">
        <is>
          <t>Income</t>
        </is>
      </c>
      <c r="D11" s="73" t="inlineStr">
        <is>
          <t>Running cost</t>
        </is>
      </c>
      <c r="E11" s="73" t="inlineStr">
        <is>
          <t>Net cash</t>
        </is>
      </c>
      <c r="F11" s="73" t="inlineStr">
        <is>
          <t>Cumulative cash</t>
        </is>
      </c>
    </row>
    <row r="12" ht="15" customHeight="1" s="54">
      <c r="A12" s="78" t="n">
        <v>1</v>
      </c>
      <c r="B12" s="96" t="n">
        <v>0</v>
      </c>
      <c r="C12" s="88">
        <f>B12*$B$6*$B$7*$B$5</f>
        <v/>
      </c>
      <c r="D12" s="88">
        <f>IF(B12=0,'Establishment Cost'!$B$17*$B$5,$B$8*$B$5)</f>
        <v/>
      </c>
      <c r="E12" s="88">
        <f>C12-D12</f>
        <v/>
      </c>
      <c r="F12" s="88">
        <f>-$B$9+E12</f>
        <v/>
      </c>
    </row>
    <row r="13" ht="15" customHeight="1" s="54">
      <c r="A13" s="78" t="n">
        <v>2</v>
      </c>
      <c r="B13" s="96" t="n">
        <v>0</v>
      </c>
      <c r="C13" s="88">
        <f>B13*$B$6*$B$7*$B$5</f>
        <v/>
      </c>
      <c r="D13" s="88">
        <f>IF(B13=0,'Establishment Cost'!$B$17*$B$5,$B$8*$B$5)</f>
        <v/>
      </c>
      <c r="E13" s="88">
        <f>C13-D13</f>
        <v/>
      </c>
      <c r="F13" s="88">
        <f>F12+E13</f>
        <v/>
      </c>
    </row>
    <row r="14" ht="15" customHeight="1" s="54">
      <c r="A14" s="78" t="n">
        <v>3</v>
      </c>
      <c r="B14" s="96" t="n">
        <v>0.1</v>
      </c>
      <c r="C14" s="88">
        <f>B14*$B$6*$B$7*$B$5</f>
        <v/>
      </c>
      <c r="D14" s="88">
        <f>IF(B14=0,'Establishment Cost'!$B$17*$B$5,$B$8*$B$5)</f>
        <v/>
      </c>
      <c r="E14" s="88">
        <f>C14-D14</f>
        <v/>
      </c>
      <c r="F14" s="88">
        <f>F13+E14</f>
        <v/>
      </c>
    </row>
    <row r="15" ht="15" customHeight="1" s="54">
      <c r="A15" s="78" t="n">
        <v>4</v>
      </c>
      <c r="B15" s="96" t="n">
        <v>0.3</v>
      </c>
      <c r="C15" s="88">
        <f>B15*$B$6*$B$7*$B$5</f>
        <v/>
      </c>
      <c r="D15" s="88">
        <f>IF(B15=0,'Establishment Cost'!$B$17*$B$5,$B$8*$B$5)</f>
        <v/>
      </c>
      <c r="E15" s="88">
        <f>C15-D15</f>
        <v/>
      </c>
      <c r="F15" s="88">
        <f>F14+E15</f>
        <v/>
      </c>
    </row>
    <row r="16" ht="15" customHeight="1" s="54">
      <c r="A16" s="78" t="n">
        <v>5</v>
      </c>
      <c r="B16" s="96" t="n">
        <v>0.6</v>
      </c>
      <c r="C16" s="88">
        <f>B16*$B$6*$B$7*$B$5</f>
        <v/>
      </c>
      <c r="D16" s="88">
        <f>IF(B16=0,'Establishment Cost'!$B$17*$B$5,$B$8*$B$5)</f>
        <v/>
      </c>
      <c r="E16" s="88">
        <f>C16-D16</f>
        <v/>
      </c>
      <c r="F16" s="88">
        <f>F15+E16</f>
        <v/>
      </c>
    </row>
    <row r="17" ht="15" customHeight="1" s="54">
      <c r="A17" s="78" t="n">
        <v>6</v>
      </c>
      <c r="B17" s="96" t="n">
        <v>0.8</v>
      </c>
      <c r="C17" s="88">
        <f>B17*$B$6*$B$7*$B$5</f>
        <v/>
      </c>
      <c r="D17" s="88">
        <f>IF(B17=0,'Establishment Cost'!$B$17*$B$5,$B$8*$B$5)</f>
        <v/>
      </c>
      <c r="E17" s="88">
        <f>C17-D17</f>
        <v/>
      </c>
      <c r="F17" s="88">
        <f>F16+E17</f>
        <v/>
      </c>
    </row>
    <row r="18" ht="15" customHeight="1" s="54">
      <c r="A18" s="78" t="n">
        <v>7</v>
      </c>
      <c r="B18" s="96" t="n">
        <v>1</v>
      </c>
      <c r="C18" s="88">
        <f>B18*$B$6*$B$7*$B$5</f>
        <v/>
      </c>
      <c r="D18" s="88">
        <f>IF(B18=0,'Establishment Cost'!$B$17*$B$5,$B$8*$B$5)</f>
        <v/>
      </c>
      <c r="E18" s="88">
        <f>C18-D18</f>
        <v/>
      </c>
      <c r="F18" s="88">
        <f>F17+E18</f>
        <v/>
      </c>
    </row>
    <row r="19" ht="15" customHeight="1" s="54">
      <c r="A19" s="78" t="n">
        <v>8</v>
      </c>
      <c r="B19" s="96" t="n">
        <v>1</v>
      </c>
      <c r="C19" s="88">
        <f>B19*$B$6*$B$7*$B$5</f>
        <v/>
      </c>
      <c r="D19" s="88">
        <f>IF(B19=0,'Establishment Cost'!$B$17*$B$5,$B$8*$B$5)</f>
        <v/>
      </c>
      <c r="E19" s="88">
        <f>C19-D19</f>
        <v/>
      </c>
      <c r="F19" s="88">
        <f>F18+E19</f>
        <v/>
      </c>
    </row>
    <row r="20" ht="15" customHeight="1" s="54">
      <c r="A20" s="78" t="n">
        <v>9</v>
      </c>
      <c r="B20" s="96" t="n">
        <v>1</v>
      </c>
      <c r="C20" s="88">
        <f>B20*$B$6*$B$7*$B$5</f>
        <v/>
      </c>
      <c r="D20" s="88">
        <f>IF(B20=0,'Establishment Cost'!$B$17*$B$5,$B$8*$B$5)</f>
        <v/>
      </c>
      <c r="E20" s="88">
        <f>C20-D20</f>
        <v/>
      </c>
      <c r="F20" s="88">
        <f>F19+E20</f>
        <v/>
      </c>
    </row>
    <row r="21" ht="15" customHeight="1" s="54">
      <c r="A21" s="78" t="n">
        <v>10</v>
      </c>
      <c r="B21" s="96" t="n">
        <v>1</v>
      </c>
      <c r="C21" s="88">
        <f>B21*$B$6*$B$7*$B$5</f>
        <v/>
      </c>
      <c r="D21" s="88">
        <f>IF(B21=0,'Establishment Cost'!$B$17*$B$5,$B$8*$B$5)</f>
        <v/>
      </c>
      <c r="E21" s="88">
        <f>C21-D21</f>
        <v/>
      </c>
      <c r="F21" s="88">
        <f>F20+E21</f>
        <v/>
      </c>
    </row>
    <row r="22" ht="15" customHeight="1" s="54">
      <c r="A22" s="78" t="n">
        <v>11</v>
      </c>
      <c r="B22" s="96" t="n">
        <v>1</v>
      </c>
      <c r="C22" s="88">
        <f>B22*$B$6*$B$7*$B$5</f>
        <v/>
      </c>
      <c r="D22" s="88">
        <f>IF(B22=0,'Establishment Cost'!$B$17*$B$5,$B$8*$B$5)</f>
        <v/>
      </c>
      <c r="E22" s="88">
        <f>C22-D22</f>
        <v/>
      </c>
      <c r="F22" s="88">
        <f>F21+E22</f>
        <v/>
      </c>
    </row>
    <row r="23" ht="15" customHeight="1" s="54">
      <c r="A23" s="78" t="n">
        <v>12</v>
      </c>
      <c r="B23" s="96" t="n">
        <v>1</v>
      </c>
      <c r="C23" s="88">
        <f>B23*$B$6*$B$7*$B$5</f>
        <v/>
      </c>
      <c r="D23" s="88">
        <f>IF(B23=0,'Establishment Cost'!$B$17*$B$5,$B$8*$B$5)</f>
        <v/>
      </c>
      <c r="E23" s="88">
        <f>C23-D23</f>
        <v/>
      </c>
      <c r="F23" s="88">
        <f>F22+E23</f>
        <v/>
      </c>
    </row>
    <row r="24"/>
    <row r="25" ht="15" customHeight="1" s="54">
      <c r="A25" s="91" t="inlineStr">
        <is>
          <t>Year cumulative cash turns positive</t>
        </is>
      </c>
      <c r="B25" s="106">
        <f>IFERROR(INDEX(A12:A23,MATCH(TRUE(),INDEX(F12:F23&gt;0,0),0)),"Not within 12 years")</f>
        <v/>
      </c>
    </row>
    <row r="26" ht="15" customHeight="1" s="54">
      <c r="A26" s="91" t="inlineStr">
        <is>
          <t>Deepest cash hole to fund</t>
        </is>
      </c>
      <c r="B26" s="93">
        <f>-MIN(0,MIN(F12:F23))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C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0" customWidth="1" style="53" min="1" max="1"/>
    <col width="18" customWidth="1" style="53" min="2" max="3"/>
  </cols>
  <sheetData>
    <row r="1" ht="17.25" customHeight="1" s="54">
      <c r="A1" s="71" t="inlineStr">
        <is>
          <t>T-M4/5/6-04  Export versus Local Sale</t>
        </is>
      </c>
    </row>
    <row r="2" ht="15" customHeight="1" s="54">
      <c r="A2" s="72" t="inlineStr">
        <is>
          <t>What a unit of fruit earns abroad against at home, after every deduction (Majors M4-M6).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3" t="n"/>
      <c r="B5" s="73" t="inlineStr">
        <is>
          <t>Export</t>
        </is>
      </c>
      <c r="C5" s="73" t="inlineStr">
        <is>
          <t>Local</t>
        </is>
      </c>
    </row>
    <row r="6" ht="15" customHeight="1" s="54">
      <c r="A6" s="78" t="inlineStr">
        <is>
          <t>Unit (carton, kg, tonne)</t>
        </is>
      </c>
      <c r="B6" s="90" t="inlineStr">
        <is>
          <t>carton</t>
        </is>
      </c>
      <c r="C6" s="90" t="inlineStr">
        <is>
          <t>carton</t>
        </is>
      </c>
    </row>
    <row r="7" ht="15" customHeight="1" s="54">
      <c r="A7" s="78" t="inlineStr">
        <is>
          <t>Selling price per unit</t>
        </is>
      </c>
      <c r="B7" s="90" t="n">
        <v>14</v>
      </c>
      <c r="C7" s="90" t="n">
        <v>8</v>
      </c>
    </row>
    <row r="8" ht="15" customHeight="1" s="54">
      <c r="A8" s="78" t="inlineStr">
        <is>
          <t>Packout (% of fruit reaching this grade)</t>
        </is>
      </c>
      <c r="B8" s="96" t="n">
        <v>0.65</v>
      </c>
      <c r="C8" s="96" t="n">
        <v>0.9</v>
      </c>
    </row>
    <row r="9" ht="15" customHeight="1" s="54">
      <c r="A9" s="78" t="inlineStr">
        <is>
          <t>Packing and pack-house cost per unit</t>
        </is>
      </c>
      <c r="B9" s="90" t="n">
        <v>2.2</v>
      </c>
      <c r="C9" s="90" t="n">
        <v>0.8</v>
      </c>
    </row>
    <row r="10" ht="15" customHeight="1" s="54">
      <c r="A10" s="78" t="inlineStr">
        <is>
          <t>Freight, cold chain and port per unit</t>
        </is>
      </c>
      <c r="B10" s="90" t="n">
        <v>4.1</v>
      </c>
      <c r="C10" s="90" t="n">
        <v>0.6</v>
      </c>
    </row>
    <row r="11" ht="15" customHeight="1" s="54">
      <c r="A11" s="78" t="inlineStr">
        <is>
          <t>Commission (% of price)</t>
        </is>
      </c>
      <c r="B11" s="98" t="n">
        <v>0.08</v>
      </c>
      <c r="C11" s="98" t="n">
        <v>0.05</v>
      </c>
    </row>
    <row r="12" ht="15" customHeight="1" s="54">
      <c r="A12" s="78" t="inlineStr">
        <is>
          <t>Certification cost per unit</t>
        </is>
      </c>
      <c r="B12" s="90" t="n">
        <v>0.3</v>
      </c>
      <c r="C12" s="90" t="n">
        <v>0</v>
      </c>
    </row>
    <row r="13" ht="15" customHeight="1" s="54">
      <c r="A13" s="78" t="inlineStr">
        <is>
          <t>Months until paid</t>
        </is>
      </c>
      <c r="B13" s="95" t="n">
        <v>4</v>
      </c>
      <c r="C13" s="95" t="n">
        <v>1</v>
      </c>
    </row>
    <row r="14" ht="15" customHeight="1" s="54">
      <c r="A14" s="78" t="inlineStr">
        <is>
          <t>Interest rate per year</t>
        </is>
      </c>
      <c r="B14" s="98" t="n">
        <v>0.18</v>
      </c>
      <c r="C14" s="98" t="n">
        <v>0.18</v>
      </c>
    </row>
    <row r="15"/>
    <row r="16" ht="15" customHeight="1" s="54">
      <c r="A16" s="78" t="inlineStr">
        <is>
          <t>Net per unit packed</t>
        </is>
      </c>
      <c r="B16" s="88">
        <f>B7-B9-B10-B7*B11-B12</f>
        <v/>
      </c>
      <c r="C16" s="88">
        <f>C7-C9-C10-C7*C11-C12</f>
        <v/>
      </c>
    </row>
    <row r="17" ht="15" customHeight="1" s="54">
      <c r="A17" s="78" t="inlineStr">
        <is>
          <t>Less cost of waiting</t>
        </is>
      </c>
      <c r="B17" s="88">
        <f>B16-B7*B14*B13/12</f>
        <v/>
      </c>
      <c r="C17" s="88">
        <f>C16-C7*C14*C13/12</f>
        <v/>
      </c>
    </row>
    <row r="18" ht="15" customHeight="1" s="54">
      <c r="A18" s="91" t="inlineStr">
        <is>
          <t>NET PER UNIT OF FRUIT HARVESTED</t>
        </is>
      </c>
      <c r="B18" s="93">
        <f>B17*B8</f>
        <v/>
      </c>
      <c r="C18" s="93">
        <f>C17*C8</f>
        <v/>
      </c>
    </row>
    <row r="19"/>
    <row r="20" ht="15" customHeight="1" s="54">
      <c r="A20" s="91" t="inlineStr">
        <is>
          <t>Better route</t>
        </is>
      </c>
      <c r="B20" s="101">
        <f>IF(B18&gt;C18,"Export","Local")</f>
        <v/>
      </c>
    </row>
    <row r="21" ht="15" customHeight="1" s="54">
      <c r="A21" s="76" t="inlineStr">
        <is>
          <t>Fruit that misses export grade still earns something locally or at the processor; add it on a second line if your packout is low.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M2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2" customWidth="1" style="53" min="1" max="1"/>
    <col width="14" customWidth="1" style="53" min="2" max="3"/>
    <col width="16" customWidth="1" style="53" min="4" max="5"/>
    <col width="18" customWidth="1" style="53" min="6" max="6"/>
    <col width="8" customWidth="1" style="53" min="7" max="13"/>
  </cols>
  <sheetData>
    <row r="1" ht="17.25" customHeight="1" s="54">
      <c r="A1" s="71" t="inlineStr">
        <is>
          <t>T-M7/8-02  Planting Schedule</t>
        </is>
      </c>
    </row>
    <row r="2" ht="15" customHeight="1" s="54">
      <c r="A2" s="72" t="inlineStr">
        <is>
          <t>Planting dates that bring each harvest into a high-price window (Majors M7, M8).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Crop</t>
        </is>
      </c>
      <c r="B5" s="79" t="inlineStr">
        <is>
          <t>Potato</t>
        </is>
      </c>
    </row>
    <row r="6" ht="15" customHeight="1" s="54">
      <c r="A6" s="78" t="inlineStr">
        <is>
          <t>Days from planting to harvest</t>
        </is>
      </c>
      <c r="B6" s="95" t="n">
        <v>110</v>
      </c>
    </row>
    <row r="7" ht="15" customHeight="1" s="54">
      <c r="A7" s="78" t="inlineStr">
        <is>
          <t>Days between plantings</t>
        </is>
      </c>
      <c r="B7" s="95" t="n">
        <v>21</v>
      </c>
    </row>
    <row r="8" ht="15" customHeight="1" s="54">
      <c r="A8" s="78" t="inlineStr">
        <is>
          <t>First planting date</t>
        </is>
      </c>
      <c r="B8" s="107">
        <f>DATE(2026,7,1)</f>
        <v/>
      </c>
    </row>
    <row r="9"/>
    <row r="10" ht="26.25" customHeight="1" s="54">
      <c r="A10" s="73" t="inlineStr">
        <is>
          <t>Batch</t>
        </is>
      </c>
      <c r="B10" s="73" t="inlineStr">
        <is>
          <t>Planting date</t>
        </is>
      </c>
      <c r="C10" s="73" t="inlineStr">
        <is>
          <t>Harvest date</t>
        </is>
      </c>
      <c r="D10" s="73" t="inlineStr">
        <is>
          <t>Harvest month</t>
        </is>
      </c>
      <c r="E10" s="73" t="inlineStr">
        <is>
          <t>Price index that month</t>
        </is>
      </c>
      <c r="F10" s="73" t="inlineStr">
        <is>
          <t>Harvest in a good window?</t>
        </is>
      </c>
    </row>
    <row r="11" ht="15" customHeight="1" s="54">
      <c r="A11" s="78" t="n">
        <v>1</v>
      </c>
      <c r="B11" s="108">
        <f>$B$8+(A11-1)*$B$7</f>
        <v/>
      </c>
      <c r="C11" s="108">
        <f>B11+$B$6</f>
        <v/>
      </c>
      <c r="D11" s="109">
        <f>MONTH(C11)</f>
        <v/>
      </c>
      <c r="E11" s="89">
        <f>INDEX($B$23:$M$23,D11)</f>
        <v/>
      </c>
      <c r="F11" s="80">
        <f>IF(E11&gt;=1.1,"Yes - prices high",IF(E11&lt;=0.9,"No - glut likely","Average"))</f>
        <v/>
      </c>
    </row>
    <row r="12" ht="15" customHeight="1" s="54">
      <c r="A12" s="78" t="n">
        <v>2</v>
      </c>
      <c r="B12" s="108">
        <f>$B$8+(A12-1)*$B$7</f>
        <v/>
      </c>
      <c r="C12" s="108">
        <f>B12+$B$6</f>
        <v/>
      </c>
      <c r="D12" s="109">
        <f>MONTH(C12)</f>
        <v/>
      </c>
      <c r="E12" s="89">
        <f>INDEX($B$23:$M$23,D12)</f>
        <v/>
      </c>
      <c r="F12" s="80">
        <f>IF(E12&gt;=1.1,"Yes - prices high",IF(E12&lt;=0.9,"No - glut likely","Average"))</f>
        <v/>
      </c>
    </row>
    <row r="13" ht="15" customHeight="1" s="54">
      <c r="A13" s="78" t="n">
        <v>3</v>
      </c>
      <c r="B13" s="108">
        <f>$B$8+(A13-1)*$B$7</f>
        <v/>
      </c>
      <c r="C13" s="108">
        <f>B13+$B$6</f>
        <v/>
      </c>
      <c r="D13" s="109">
        <f>MONTH(C13)</f>
        <v/>
      </c>
      <c r="E13" s="89">
        <f>INDEX($B$23:$M$23,D13)</f>
        <v/>
      </c>
      <c r="F13" s="80">
        <f>IF(E13&gt;=1.1,"Yes - prices high",IF(E13&lt;=0.9,"No - glut likely","Average"))</f>
        <v/>
      </c>
    </row>
    <row r="14" ht="15" customHeight="1" s="54">
      <c r="A14" s="78" t="n">
        <v>4</v>
      </c>
      <c r="B14" s="108">
        <f>$B$8+(A14-1)*$B$7</f>
        <v/>
      </c>
      <c r="C14" s="108">
        <f>B14+$B$6</f>
        <v/>
      </c>
      <c r="D14" s="109">
        <f>MONTH(C14)</f>
        <v/>
      </c>
      <c r="E14" s="89">
        <f>INDEX($B$23:$M$23,D14)</f>
        <v/>
      </c>
      <c r="F14" s="80">
        <f>IF(E14&gt;=1.1,"Yes - prices high",IF(E14&lt;=0.9,"No - glut likely","Average"))</f>
        <v/>
      </c>
    </row>
    <row r="15" ht="15" customHeight="1" s="54">
      <c r="A15" s="78" t="n">
        <v>5</v>
      </c>
      <c r="B15" s="108">
        <f>$B$8+(A15-1)*$B$7</f>
        <v/>
      </c>
      <c r="C15" s="108">
        <f>B15+$B$6</f>
        <v/>
      </c>
      <c r="D15" s="109">
        <f>MONTH(C15)</f>
        <v/>
      </c>
      <c r="E15" s="89">
        <f>INDEX($B$23:$M$23,D15)</f>
        <v/>
      </c>
      <c r="F15" s="80">
        <f>IF(E15&gt;=1.1,"Yes - prices high",IF(E15&lt;=0.9,"No - glut likely","Average"))</f>
        <v/>
      </c>
    </row>
    <row r="16" ht="15" customHeight="1" s="54">
      <c r="A16" s="78" t="n">
        <v>6</v>
      </c>
      <c r="B16" s="108">
        <f>$B$8+(A16-1)*$B$7</f>
        <v/>
      </c>
      <c r="C16" s="108">
        <f>B16+$B$6</f>
        <v/>
      </c>
      <c r="D16" s="109">
        <f>MONTH(C16)</f>
        <v/>
      </c>
      <c r="E16" s="89">
        <f>INDEX($B$23:$M$23,D16)</f>
        <v/>
      </c>
      <c r="F16" s="80">
        <f>IF(E16&gt;=1.1,"Yes - prices high",IF(E16&lt;=0.9,"No - glut likely","Average"))</f>
        <v/>
      </c>
    </row>
    <row r="17" ht="15" customHeight="1" s="54">
      <c r="A17" s="78" t="n">
        <v>7</v>
      </c>
      <c r="B17" s="108">
        <f>$B$8+(A17-1)*$B$7</f>
        <v/>
      </c>
      <c r="C17" s="108">
        <f>B17+$B$6</f>
        <v/>
      </c>
      <c r="D17" s="109">
        <f>MONTH(C17)</f>
        <v/>
      </c>
      <c r="E17" s="89">
        <f>INDEX($B$23:$M$23,D17)</f>
        <v/>
      </c>
      <c r="F17" s="80">
        <f>IF(E17&gt;=1.1,"Yes - prices high",IF(E17&lt;=0.9,"No - glut likely","Average"))</f>
        <v/>
      </c>
    </row>
    <row r="18" ht="15" customHeight="1" s="54">
      <c r="A18" s="78" t="n">
        <v>8</v>
      </c>
      <c r="B18" s="108">
        <f>$B$8+(A18-1)*$B$7</f>
        <v/>
      </c>
      <c r="C18" s="108">
        <f>B18+$B$6</f>
        <v/>
      </c>
      <c r="D18" s="109">
        <f>MONTH(C18)</f>
        <v/>
      </c>
      <c r="E18" s="89">
        <f>INDEX($B$23:$M$23,D18)</f>
        <v/>
      </c>
      <c r="F18" s="80">
        <f>IF(E18&gt;=1.1,"Yes - prices high",IF(E18&lt;=0.9,"No - glut likely","Average"))</f>
        <v/>
      </c>
    </row>
    <row r="19"/>
    <row r="20"/>
    <row r="21"/>
    <row r="22" ht="15" customHeight="1" s="54">
      <c r="A22" s="73" t="inlineStr">
        <is>
          <t>Month</t>
        </is>
      </c>
      <c r="B22" s="73" t="inlineStr">
        <is>
          <t>Jan</t>
        </is>
      </c>
      <c r="C22" s="73" t="inlineStr">
        <is>
          <t>Feb</t>
        </is>
      </c>
      <c r="D22" s="73" t="inlineStr">
        <is>
          <t>Mar</t>
        </is>
      </c>
      <c r="E22" s="73" t="inlineStr">
        <is>
          <t>Apr</t>
        </is>
      </c>
      <c r="F22" s="73" t="inlineStr">
        <is>
          <t>May</t>
        </is>
      </c>
      <c r="G22" s="73" t="inlineStr">
        <is>
          <t>Jun</t>
        </is>
      </c>
      <c r="H22" s="73" t="inlineStr">
        <is>
          <t>Jul</t>
        </is>
      </c>
      <c r="I22" s="73" t="inlineStr">
        <is>
          <t>Aug</t>
        </is>
      </c>
      <c r="J22" s="73" t="inlineStr">
        <is>
          <t>Sep</t>
        </is>
      </c>
      <c r="K22" s="73" t="inlineStr">
        <is>
          <t>Oct</t>
        </is>
      </c>
      <c r="L22" s="73" t="inlineStr">
        <is>
          <t>Nov</t>
        </is>
      </c>
      <c r="M22" s="73" t="inlineStr">
        <is>
          <t>Dec</t>
        </is>
      </c>
    </row>
    <row r="23" ht="15" customHeight="1" s="54">
      <c r="A23" s="78" t="inlineStr">
        <is>
          <t>Price index (1.00 = average)</t>
        </is>
      </c>
      <c r="B23" s="81" t="n">
        <v>1.15</v>
      </c>
      <c r="C23" s="81" t="n">
        <v>1.1</v>
      </c>
      <c r="D23" s="81" t="n">
        <v>0.95</v>
      </c>
      <c r="E23" s="81" t="n">
        <v>0.85</v>
      </c>
      <c r="F23" s="81" t="n">
        <v>0.8</v>
      </c>
      <c r="G23" s="81" t="n">
        <v>0.9</v>
      </c>
      <c r="H23" s="81" t="n">
        <v>1</v>
      </c>
      <c r="I23" s="81" t="n">
        <v>1.05</v>
      </c>
      <c r="J23" s="81" t="n">
        <v>1</v>
      </c>
      <c r="K23" s="81" t="n">
        <v>1.05</v>
      </c>
      <c r="L23" s="81" t="n">
        <v>1.15</v>
      </c>
      <c r="M23" s="81" t="n">
        <v>1.2</v>
      </c>
    </row>
    <row r="24" ht="15" customHeight="1" s="54">
      <c r="A24" s="76" t="inlineStr">
        <is>
          <t>Build the price index from your local fresh-produce market records. The example is illustrative only.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C1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0" customWidth="1" style="53" min="1" max="1"/>
    <col width="18" customWidth="1" style="53" min="2" max="3"/>
  </cols>
  <sheetData>
    <row r="1" ht="17.25" customHeight="1" s="54">
      <c r="A1" s="71" t="inlineStr">
        <is>
          <t>T-M7/8-04  Fresh Market versus Processor</t>
        </is>
      </c>
    </row>
    <row r="2" ht="15" customHeight="1" s="54">
      <c r="A2" s="72" t="inlineStr">
        <is>
          <t>What a tonne earns on the fresh market against a processing contract (Majors M7, M8).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3" t="n"/>
      <c r="B5" s="73" t="inlineStr">
        <is>
          <t>Fresh market</t>
        </is>
      </c>
      <c r="C5" s="73" t="inlineStr">
        <is>
          <t>Processor</t>
        </is>
      </c>
    </row>
    <row r="6" ht="15" customHeight="1" s="54">
      <c r="A6" s="78" t="inlineStr">
        <is>
          <t>Price per tonne</t>
        </is>
      </c>
      <c r="B6" s="90" t="n">
        <v>420</v>
      </c>
      <c r="C6" s="90" t="n">
        <v>330</v>
      </c>
    </row>
    <row r="7" ht="15" customHeight="1" s="54">
      <c r="A7" s="78" t="inlineStr">
        <is>
          <t>Share of crop accepted (grade-out or spec)</t>
        </is>
      </c>
      <c r="B7" s="96" t="n">
        <v>0.85</v>
      </c>
      <c r="C7" s="96" t="n">
        <v>0.95</v>
      </c>
    </row>
    <row r="8" ht="15" customHeight="1" s="54">
      <c r="A8" s="78" t="inlineStr">
        <is>
          <t>Commission (% of price)</t>
        </is>
      </c>
      <c r="B8" s="98" t="n">
        <v>0.075</v>
      </c>
      <c r="C8" s="98" t="n">
        <v>0</v>
      </c>
    </row>
    <row r="9" ht="15" customHeight="1" s="54">
      <c r="A9" s="78" t="inlineStr">
        <is>
          <t>Transport and handling per tonne</t>
        </is>
      </c>
      <c r="B9" s="90" t="n">
        <v>30</v>
      </c>
      <c r="C9" s="90" t="n">
        <v>18</v>
      </c>
    </row>
    <row r="10" ht="15" customHeight="1" s="54">
      <c r="A10" s="78" t="inlineStr">
        <is>
          <t>Packing per tonne</t>
        </is>
      </c>
      <c r="B10" s="90" t="n">
        <v>25</v>
      </c>
      <c r="C10" s="90" t="n">
        <v>0</v>
      </c>
    </row>
    <row r="11" ht="15" customHeight="1" s="54">
      <c r="A11" s="78" t="inlineStr">
        <is>
          <t>Price certainty (1 = fixed contract, 0 = market)</t>
        </is>
      </c>
      <c r="B11" s="95" t="n">
        <v>0</v>
      </c>
      <c r="C11" s="95" t="n">
        <v>1</v>
      </c>
    </row>
    <row r="12"/>
    <row r="13" ht="15" customHeight="1" s="54">
      <c r="A13" s="91" t="inlineStr">
        <is>
          <t>NET PER TONNE HARVESTED</t>
        </is>
      </c>
      <c r="B13" s="93">
        <f>B7*(B6*(1-B8)-B9-B10)</f>
        <v/>
      </c>
      <c r="C13" s="93">
        <f>C7*(C6*(1-C8)-C9-C10)</f>
        <v/>
      </c>
    </row>
    <row r="14" ht="15" customHeight="1" s="54">
      <c r="A14" s="78" t="inlineStr">
        <is>
          <t>Net per tonne at a 20% lower fresh price</t>
        </is>
      </c>
      <c r="B14" s="88">
        <f>B7*(B6*0.8*(1-B8)-B9-B10)</f>
        <v/>
      </c>
    </row>
    <row r="15" ht="15" customHeight="1" s="54">
      <c r="A15" s="91" t="inlineStr">
        <is>
          <t>Better route</t>
        </is>
      </c>
      <c r="B15" s="101">
        <f>IF(B13&gt;C13,"Fresh market","Processor")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C1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  <col width="30" customWidth="1" style="53" min="3" max="3"/>
  </cols>
  <sheetData>
    <row r="1" ht="17.25" customHeight="1" s="54">
      <c r="A1" s="71" t="inlineStr">
        <is>
          <t>T-M9/10-02  Stocking Rate</t>
        </is>
      </c>
    </row>
    <row r="2" ht="15" customHeight="1" s="54">
      <c r="A2" s="72" t="inlineStr">
        <is>
          <t>How many animals your land can carry without degrading it (Majors M9, M10).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Grazing hectares</t>
        </is>
      </c>
      <c r="B5" s="81" t="n">
        <v>1.5</v>
      </c>
    </row>
    <row r="6" ht="15" customHeight="1" s="54">
      <c r="A6" s="78" t="inlineStr">
        <is>
          <t>Hectares needed per large stock unit (carrying capacity)</t>
        </is>
      </c>
      <c r="B6" s="105" t="n">
        <v>6</v>
      </c>
      <c r="C6" s="76" t="inlineStr">
        <is>
          <t>Get this from your extension office; dry rangeland can need 10-20 ha</t>
        </is>
      </c>
    </row>
    <row r="7" ht="15" customHeight="1" s="54">
      <c r="A7" s="78" t="inlineStr">
        <is>
          <t>Planted fodder or bought feed (LSU-equivalents supported)</t>
        </is>
      </c>
      <c r="B7" s="105" t="n">
        <v>2</v>
      </c>
    </row>
    <row r="8" ht="15" customHeight="1" s="54">
      <c r="A8" s="78" t="inlineStr">
        <is>
          <t>Animal type</t>
        </is>
      </c>
      <c r="B8" s="79" t="inlineStr">
        <is>
          <t>Weaners being finished</t>
        </is>
      </c>
    </row>
    <row r="9" ht="15" customHeight="1" s="54">
      <c r="A9" s="78" t="inlineStr">
        <is>
          <t>LSU per animal (cow 1.0, weaner 0.5, sheep or goat 0.15)</t>
        </is>
      </c>
      <c r="B9" s="81" t="n">
        <v>0.5</v>
      </c>
    </row>
    <row r="10" ht="15" customHeight="1" s="54">
      <c r="A10" s="78" t="inlineStr">
        <is>
          <t>Grazing capacity (LSU)</t>
        </is>
      </c>
      <c r="B10" s="89">
        <f>IFERROR(B5/B6,0)</f>
        <v/>
      </c>
    </row>
    <row r="11" ht="15" customHeight="1" s="54">
      <c r="A11" s="78" t="inlineStr">
        <is>
          <t>Total capacity with feed (LSU)</t>
        </is>
      </c>
      <c r="B11" s="89">
        <f>B10+B7</f>
        <v/>
      </c>
    </row>
    <row r="12" ht="15" customHeight="1" s="54">
      <c r="A12" s="91" t="inlineStr">
        <is>
          <t>MAXIMUM ANIMALS</t>
        </is>
      </c>
      <c r="B12" s="106">
        <f>ROUNDDOWN(IFERROR(B11/B9,0),0)</f>
        <v/>
      </c>
    </row>
    <row r="13" ht="15" customHeight="1" s="54">
      <c r="A13" s="78" t="inlineStr">
        <is>
          <t>Animals you plan to keep</t>
        </is>
      </c>
      <c r="B13" s="95" t="n">
        <v>4</v>
      </c>
    </row>
    <row r="14" ht="15" customHeight="1" s="54">
      <c r="A14" s="91" t="inlineStr">
        <is>
          <t>Check</t>
        </is>
      </c>
      <c r="B14" s="101">
        <f>IF(B13&gt;B12,"Overstocked - the land will degrade","Within carrying capacity")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H2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4" customWidth="1" style="53" min="1" max="8"/>
  </cols>
  <sheetData>
    <row r="1" ht="17.25" customHeight="1" s="54">
      <c r="A1" s="71" t="inlineStr">
        <is>
          <t>T-M9/10-03  Herd Growth Projection</t>
        </is>
      </c>
    </row>
    <row r="2" ht="15" customHeight="1" s="54">
      <c r="A2" s="72" t="inlineStr">
        <is>
          <t>How a breeding herd or flock grows over ten years (Majors M9, M10).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94" t="inlineStr">
        <is>
          <t>Take this step: list animals for sale, or find buyers and transport, on Chinyama.com.</t>
        </is>
      </c>
    </row>
    <row r="5" ht="15" customHeight="1" s="54">
      <c r="A5" s="78" t="inlineStr">
        <is>
          <t>Breeding females at start</t>
        </is>
      </c>
      <c r="D5" s="95" t="n">
        <v>20</v>
      </c>
    </row>
    <row r="6" ht="15" customHeight="1" s="54">
      <c r="A6" s="78" t="inlineStr">
        <is>
          <t>Birth rate (young per female per year)</t>
        </is>
      </c>
      <c r="D6" s="81" t="n">
        <v>1.5</v>
      </c>
    </row>
    <row r="7" ht="15" customHeight="1" s="54">
      <c r="A7" s="78" t="inlineStr">
        <is>
          <t>Death rate of young (%)</t>
        </is>
      </c>
      <c r="D7" s="96" t="n">
        <v>0.1</v>
      </c>
    </row>
    <row r="8" ht="15" customHeight="1" s="54">
      <c r="A8" s="78" t="inlineStr">
        <is>
          <t>Share of female young kept for breeding</t>
        </is>
      </c>
      <c r="D8" s="96" t="n">
        <v>0.4</v>
      </c>
    </row>
    <row r="9" ht="15" customHeight="1" s="54">
      <c r="A9" s="78" t="inlineStr">
        <is>
          <t>Breeding females culled per year (%)</t>
        </is>
      </c>
      <c r="D9" s="96" t="n">
        <v>0.15</v>
      </c>
    </row>
    <row r="10" ht="15" customHeight="1" s="54">
      <c r="A10" s="78" t="inlineStr">
        <is>
          <t>Price per young animal sold</t>
        </is>
      </c>
      <c r="D10" s="90" t="n">
        <v>45</v>
      </c>
    </row>
    <row r="11" ht="15" customHeight="1" s="54">
      <c r="A11" s="78" t="inlineStr">
        <is>
          <t>Price per cull female</t>
        </is>
      </c>
      <c r="D11" s="90" t="n">
        <v>60</v>
      </c>
    </row>
    <row r="12"/>
    <row r="13" ht="26.25" customHeight="1" s="54">
      <c r="A13" s="73" t="inlineStr">
        <is>
          <t>Year</t>
        </is>
      </c>
      <c r="B13" s="73" t="inlineStr">
        <is>
          <t>Females at start</t>
        </is>
      </c>
      <c r="C13" s="73" t="inlineStr">
        <is>
          <t>Young born</t>
        </is>
      </c>
      <c r="D13" s="73" t="inlineStr">
        <is>
          <t>Young surviving</t>
        </is>
      </c>
      <c r="E13" s="73" t="inlineStr">
        <is>
          <t>Females kept</t>
        </is>
      </c>
      <c r="F13" s="73" t="inlineStr">
        <is>
          <t>Young sold</t>
        </is>
      </c>
      <c r="G13" s="73" t="inlineStr">
        <is>
          <t>Females culled</t>
        </is>
      </c>
      <c r="H13" s="73" t="inlineStr">
        <is>
          <t>Sales income</t>
        </is>
      </c>
    </row>
    <row r="14" ht="15" customHeight="1" s="54">
      <c r="A14" s="78" t="n">
        <v>1</v>
      </c>
      <c r="B14" s="109">
        <f>$D$5</f>
        <v/>
      </c>
      <c r="C14" s="109">
        <f>B14*$D$6</f>
        <v/>
      </c>
      <c r="D14" s="109">
        <f>C14*(1-$D$7)</f>
        <v/>
      </c>
      <c r="E14" s="109">
        <f>ROUND(D14/2*$D$8,0)</f>
        <v/>
      </c>
      <c r="F14" s="109">
        <f>ROUND(D14-E14,0)</f>
        <v/>
      </c>
      <c r="G14" s="109">
        <f>ROUND(B14*$D$9,0)</f>
        <v/>
      </c>
      <c r="H14" s="88">
        <f>F14*$D$10+G14*$D$11</f>
        <v/>
      </c>
    </row>
    <row r="15" ht="15" customHeight="1" s="54">
      <c r="A15" s="78" t="n">
        <v>2</v>
      </c>
      <c r="B15" s="109">
        <f>B14+E14-G14</f>
        <v/>
      </c>
      <c r="C15" s="109">
        <f>B15*$D$6</f>
        <v/>
      </c>
      <c r="D15" s="109">
        <f>C15*(1-$D$7)</f>
        <v/>
      </c>
      <c r="E15" s="109">
        <f>ROUND(D15/2*$D$8,0)</f>
        <v/>
      </c>
      <c r="F15" s="109">
        <f>ROUND(D15-E15,0)</f>
        <v/>
      </c>
      <c r="G15" s="109">
        <f>ROUND(B15*$D$9,0)</f>
        <v/>
      </c>
      <c r="H15" s="88">
        <f>F15*$D$10+G15*$D$11</f>
        <v/>
      </c>
    </row>
    <row r="16" ht="15" customHeight="1" s="54">
      <c r="A16" s="78" t="n">
        <v>3</v>
      </c>
      <c r="B16" s="109">
        <f>B15+E15-G15</f>
        <v/>
      </c>
      <c r="C16" s="109">
        <f>B16*$D$6</f>
        <v/>
      </c>
      <c r="D16" s="109">
        <f>C16*(1-$D$7)</f>
        <v/>
      </c>
      <c r="E16" s="109">
        <f>ROUND(D16/2*$D$8,0)</f>
        <v/>
      </c>
      <c r="F16" s="109">
        <f>ROUND(D16-E16,0)</f>
        <v/>
      </c>
      <c r="G16" s="109">
        <f>ROUND(B16*$D$9,0)</f>
        <v/>
      </c>
      <c r="H16" s="88">
        <f>F16*$D$10+G16*$D$11</f>
        <v/>
      </c>
    </row>
    <row r="17" ht="15" customHeight="1" s="54">
      <c r="A17" s="78" t="n">
        <v>4</v>
      </c>
      <c r="B17" s="109">
        <f>B16+E16-G16</f>
        <v/>
      </c>
      <c r="C17" s="109">
        <f>B17*$D$6</f>
        <v/>
      </c>
      <c r="D17" s="109">
        <f>C17*(1-$D$7)</f>
        <v/>
      </c>
      <c r="E17" s="109">
        <f>ROUND(D17/2*$D$8,0)</f>
        <v/>
      </c>
      <c r="F17" s="109">
        <f>ROUND(D17-E17,0)</f>
        <v/>
      </c>
      <c r="G17" s="109">
        <f>ROUND(B17*$D$9,0)</f>
        <v/>
      </c>
      <c r="H17" s="88">
        <f>F17*$D$10+G17*$D$11</f>
        <v/>
      </c>
    </row>
    <row r="18" ht="15" customHeight="1" s="54">
      <c r="A18" s="78" t="n">
        <v>5</v>
      </c>
      <c r="B18" s="109">
        <f>B17+E17-G17</f>
        <v/>
      </c>
      <c r="C18" s="109">
        <f>B18*$D$6</f>
        <v/>
      </c>
      <c r="D18" s="109">
        <f>C18*(1-$D$7)</f>
        <v/>
      </c>
      <c r="E18" s="109">
        <f>ROUND(D18/2*$D$8,0)</f>
        <v/>
      </c>
      <c r="F18" s="109">
        <f>ROUND(D18-E18,0)</f>
        <v/>
      </c>
      <c r="G18" s="109">
        <f>ROUND(B18*$D$9,0)</f>
        <v/>
      </c>
      <c r="H18" s="88">
        <f>F18*$D$10+G18*$D$11</f>
        <v/>
      </c>
    </row>
    <row r="19" ht="15" customHeight="1" s="54">
      <c r="A19" s="78" t="n">
        <v>6</v>
      </c>
      <c r="B19" s="109">
        <f>B18+E18-G18</f>
        <v/>
      </c>
      <c r="C19" s="109">
        <f>B19*$D$6</f>
        <v/>
      </c>
      <c r="D19" s="109">
        <f>C19*(1-$D$7)</f>
        <v/>
      </c>
      <c r="E19" s="109">
        <f>ROUND(D19/2*$D$8,0)</f>
        <v/>
      </c>
      <c r="F19" s="109">
        <f>ROUND(D19-E19,0)</f>
        <v/>
      </c>
      <c r="G19" s="109">
        <f>ROUND(B19*$D$9,0)</f>
        <v/>
      </c>
      <c r="H19" s="88">
        <f>F19*$D$10+G19*$D$11</f>
        <v/>
      </c>
    </row>
    <row r="20" ht="15" customHeight="1" s="54">
      <c r="A20" s="78" t="n">
        <v>7</v>
      </c>
      <c r="B20" s="109">
        <f>B19+E19-G19</f>
        <v/>
      </c>
      <c r="C20" s="109">
        <f>B20*$D$6</f>
        <v/>
      </c>
      <c r="D20" s="109">
        <f>C20*(1-$D$7)</f>
        <v/>
      </c>
      <c r="E20" s="109">
        <f>ROUND(D20/2*$D$8,0)</f>
        <v/>
      </c>
      <c r="F20" s="109">
        <f>ROUND(D20-E20,0)</f>
        <v/>
      </c>
      <c r="G20" s="109">
        <f>ROUND(B20*$D$9,0)</f>
        <v/>
      </c>
      <c r="H20" s="88">
        <f>F20*$D$10+G20*$D$11</f>
        <v/>
      </c>
    </row>
    <row r="21" ht="15" customHeight="1" s="54">
      <c r="A21" s="78" t="n">
        <v>8</v>
      </c>
      <c r="B21" s="109">
        <f>B20+E20-G20</f>
        <v/>
      </c>
      <c r="C21" s="109">
        <f>B21*$D$6</f>
        <v/>
      </c>
      <c r="D21" s="109">
        <f>C21*(1-$D$7)</f>
        <v/>
      </c>
      <c r="E21" s="109">
        <f>ROUND(D21/2*$D$8,0)</f>
        <v/>
      </c>
      <c r="F21" s="109">
        <f>ROUND(D21-E21,0)</f>
        <v/>
      </c>
      <c r="G21" s="109">
        <f>ROUND(B21*$D$9,0)</f>
        <v/>
      </c>
      <c r="H21" s="88">
        <f>F21*$D$10+G21*$D$11</f>
        <v/>
      </c>
    </row>
    <row r="22" ht="15" customHeight="1" s="54">
      <c r="A22" s="78" t="n">
        <v>9</v>
      </c>
      <c r="B22" s="109">
        <f>B21+E21-G21</f>
        <v/>
      </c>
      <c r="C22" s="109">
        <f>B22*$D$6</f>
        <v/>
      </c>
      <c r="D22" s="109">
        <f>C22*(1-$D$7)</f>
        <v/>
      </c>
      <c r="E22" s="109">
        <f>ROUND(D22/2*$D$8,0)</f>
        <v/>
      </c>
      <c r="F22" s="109">
        <f>ROUND(D22-E22,0)</f>
        <v/>
      </c>
      <c r="G22" s="109">
        <f>ROUND(B22*$D$9,0)</f>
        <v/>
      </c>
      <c r="H22" s="88">
        <f>F22*$D$10+G22*$D$11</f>
        <v/>
      </c>
    </row>
    <row r="23" ht="15" customHeight="1" s="54">
      <c r="A23" s="78" t="n">
        <v>10</v>
      </c>
      <c r="B23" s="109">
        <f>B22+E22-G22</f>
        <v/>
      </c>
      <c r="C23" s="109">
        <f>B23*$D$6</f>
        <v/>
      </c>
      <c r="D23" s="109">
        <f>C23*(1-$D$7)</f>
        <v/>
      </c>
      <c r="E23" s="109">
        <f>ROUND(D23/2*$D$8,0)</f>
        <v/>
      </c>
      <c r="F23" s="109">
        <f>ROUND(D23-E23,0)</f>
        <v/>
      </c>
      <c r="G23" s="109">
        <f>ROUND(B23*$D$9,0)</f>
        <v/>
      </c>
      <c r="H23" s="88">
        <f>F23*$D$10+G23*$D$11</f>
        <v/>
      </c>
    </row>
    <row r="24"/>
    <row r="25" ht="15" customHeight="1" s="54">
      <c r="A25" s="91" t="inlineStr">
        <is>
          <t>Total sales over ten years</t>
        </is>
      </c>
      <c r="H25" s="93">
        <f>SUM(H14:H23)</f>
        <v/>
      </c>
    </row>
  </sheetData>
  <mergeCells count="7">
    <mergeCell ref="A10:C10"/>
    <mergeCell ref="A11:C11"/>
    <mergeCell ref="A5:C5"/>
    <mergeCell ref="A8:C8"/>
    <mergeCell ref="A6:C6"/>
    <mergeCell ref="A9:C9"/>
    <mergeCell ref="A7:C7"/>
  </mergeCells>
  <hyperlinks>
    <hyperlink xmlns:r="http://schemas.openxmlformats.org/officeDocument/2006/relationships" ref="A4" display="Take this step: list animals for sale, or find buyers and transport, on Chinyama.com.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2"/>
</worksheet>
</file>

<file path=xl/worksheets/sheet27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C1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0" customWidth="1" style="53" min="1" max="1"/>
    <col width="16" customWidth="1" style="53" min="2" max="3"/>
  </cols>
  <sheetData>
    <row r="1" ht="17.25" customHeight="1" s="54">
      <c r="A1" s="71" t="inlineStr">
        <is>
          <t>T-M9/10-04  Feedlot versus Veld</t>
        </is>
      </c>
    </row>
    <row r="2" ht="15" customHeight="1" s="54">
      <c r="A2" s="72" t="inlineStr">
        <is>
          <t>Grain-finishing against grass-finishing for the same animal (Majors M9, M10).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3" t="n"/>
      <c r="B5" s="73" t="inlineStr">
        <is>
          <t>Feedlot (grain)</t>
        </is>
      </c>
      <c r="C5" s="73" t="inlineStr">
        <is>
          <t>Veld (grass)</t>
        </is>
      </c>
    </row>
    <row r="6" ht="15" customHeight="1" s="54">
      <c r="A6" s="78" t="inlineStr">
        <is>
          <t>Number of animals</t>
        </is>
      </c>
      <c r="B6" s="95" t="n">
        <v>4</v>
      </c>
      <c r="C6" s="95" t="n">
        <v>4</v>
      </c>
    </row>
    <row r="7" ht="15" customHeight="1" s="54">
      <c r="A7" s="78" t="inlineStr">
        <is>
          <t>Purchase weight (kg live)</t>
        </is>
      </c>
      <c r="B7" s="95" t="n">
        <v>220</v>
      </c>
      <c r="C7" s="95" t="n">
        <v>220</v>
      </c>
    </row>
    <row r="8" ht="15" customHeight="1" s="54">
      <c r="A8" s="78" t="inlineStr">
        <is>
          <t>Purchase price per kg live</t>
        </is>
      </c>
      <c r="B8" s="90" t="n">
        <v>2.2</v>
      </c>
      <c r="C8" s="90" t="n">
        <v>2.2</v>
      </c>
    </row>
    <row r="9" ht="15" customHeight="1" s="54">
      <c r="A9" s="78" t="inlineStr">
        <is>
          <t>Daily weight gain (kg)</t>
        </is>
      </c>
      <c r="B9" s="81" t="n">
        <v>1.4</v>
      </c>
      <c r="C9" s="81" t="n">
        <v>0.45</v>
      </c>
    </row>
    <row r="10" ht="15" customHeight="1" s="54">
      <c r="A10" s="78" t="inlineStr">
        <is>
          <t>Days on feed or grass</t>
        </is>
      </c>
      <c r="B10" s="95" t="n">
        <v>100</v>
      </c>
      <c r="C10" s="95" t="n">
        <v>240</v>
      </c>
    </row>
    <row r="11" ht="15" customHeight="1" s="54">
      <c r="A11" s="78" t="inlineStr">
        <is>
          <t>Feed cost per animal per day</t>
        </is>
      </c>
      <c r="B11" s="90" t="n">
        <v>2.1</v>
      </c>
      <c r="C11" s="90" t="n">
        <v>0.25</v>
      </c>
    </row>
    <row r="12" ht="15" customHeight="1" s="54">
      <c r="A12" s="78" t="inlineStr">
        <is>
          <t>Veterinary and other per animal</t>
        </is>
      </c>
      <c r="B12" s="90" t="n">
        <v>20</v>
      </c>
      <c r="C12" s="90" t="n">
        <v>25</v>
      </c>
    </row>
    <row r="13" ht="15" customHeight="1" s="54">
      <c r="A13" s="78" t="inlineStr">
        <is>
          <t>Sale price per kg live</t>
        </is>
      </c>
      <c r="B13" s="90" t="n">
        <v>2.4</v>
      </c>
      <c r="C13" s="90" t="n">
        <v>2.3</v>
      </c>
    </row>
    <row r="14" ht="15" customHeight="1" s="54">
      <c r="A14" s="78" t="inlineStr">
        <is>
          <t>Sale weight (kg)</t>
        </is>
      </c>
      <c r="B14" s="88">
        <f>B7+B9*B10</f>
        <v/>
      </c>
      <c r="C14" s="88">
        <f>C7+C9*C10</f>
        <v/>
      </c>
    </row>
    <row r="15" ht="15" customHeight="1" s="54">
      <c r="A15" s="78" t="inlineStr">
        <is>
          <t>Income per animal</t>
        </is>
      </c>
      <c r="B15" s="88">
        <f>B14*B13</f>
        <v/>
      </c>
      <c r="C15" s="88">
        <f>C14*C13</f>
        <v/>
      </c>
    </row>
    <row r="16" ht="15" customHeight="1" s="54">
      <c r="A16" s="78" t="inlineStr">
        <is>
          <t>Cost per animal</t>
        </is>
      </c>
      <c r="B16" s="88">
        <f>B7*B8+B10*B11+B12</f>
        <v/>
      </c>
      <c r="C16" s="88">
        <f>C7*C8+C10*C11+C12</f>
        <v/>
      </c>
    </row>
    <row r="17" ht="15" customHeight="1" s="54">
      <c r="A17" s="91" t="inlineStr">
        <is>
          <t>MARGIN PER ANIMAL</t>
        </is>
      </c>
      <c r="B17" s="93">
        <f>B15-B16</f>
        <v/>
      </c>
      <c r="C17" s="93">
        <f>C15-C16</f>
        <v/>
      </c>
    </row>
    <row r="18" ht="15" customHeight="1" s="54">
      <c r="A18" s="78" t="inlineStr">
        <is>
          <t>Margin for the group</t>
        </is>
      </c>
      <c r="B18" s="88">
        <f>B17*B6</f>
        <v/>
      </c>
      <c r="C18" s="88">
        <f>C17*C6</f>
        <v/>
      </c>
    </row>
    <row r="19" ht="15" customHeight="1" s="54">
      <c r="A19" s="78" t="inlineStr">
        <is>
          <t>Margin per day of capital tied up</t>
        </is>
      </c>
      <c r="B19" s="88">
        <f>IFERROR(B17/B10,0)</f>
        <v/>
      </c>
      <c r="C19" s="88">
        <f>IFERROR(C17/C10,0)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1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71" t="inlineStr">
        <is>
          <t>T-M11-02  Sow Productivity</t>
        </is>
      </c>
    </row>
    <row r="2" ht="15" customHeight="1" s="54">
      <c r="A2" s="72" t="inlineStr">
        <is>
          <t>How many pigs each sow puts on the market each year (Major M11).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Sows</t>
        </is>
      </c>
      <c r="B5" s="95" t="n">
        <v>4</v>
      </c>
    </row>
    <row r="6" ht="15" customHeight="1" s="54">
      <c r="A6" s="78" t="inlineStr">
        <is>
          <t>Litters per sow per year</t>
        </is>
      </c>
      <c r="B6" s="105" t="n">
        <v>2.1</v>
      </c>
    </row>
    <row r="7" ht="15" customHeight="1" s="54">
      <c r="A7" s="78" t="inlineStr">
        <is>
          <t>Piglets born alive per litter</t>
        </is>
      </c>
      <c r="B7" s="105" t="n">
        <v>10</v>
      </c>
    </row>
    <row r="8" ht="15" customHeight="1" s="54">
      <c r="A8" s="78" t="inlineStr">
        <is>
          <t>Pre-weaning deaths (%)</t>
        </is>
      </c>
      <c r="B8" s="96" t="n">
        <v>0.12</v>
      </c>
    </row>
    <row r="9" ht="15" customHeight="1" s="54">
      <c r="A9" s="78" t="inlineStr">
        <is>
          <t>Post-weaning deaths (%)</t>
        </is>
      </c>
      <c r="B9" s="96" t="n">
        <v>0.04</v>
      </c>
    </row>
    <row r="10" ht="15" customHeight="1" s="54">
      <c r="A10" s="78" t="inlineStr">
        <is>
          <t>Piglets weaned per sow per year</t>
        </is>
      </c>
      <c r="B10" s="97">
        <f>B6*B7*(1-B8)</f>
        <v/>
      </c>
    </row>
    <row r="11" ht="15" customHeight="1" s="54">
      <c r="A11" s="91" t="inlineStr">
        <is>
          <t>PIGS SOLD PER SOW PER YEAR</t>
        </is>
      </c>
      <c r="B11" s="110">
        <f>B10*(1-B9)</f>
        <v/>
      </c>
    </row>
    <row r="12" ht="15" customHeight="1" s="54">
      <c r="A12" s="91" t="inlineStr">
        <is>
          <t>PIGS SOLD PER YEAR</t>
        </is>
      </c>
      <c r="B12" s="106">
        <f>B11*B5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29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C1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3"/>
  </cols>
  <sheetData>
    <row r="1" ht="17.25" customHeight="1" s="54">
      <c r="A1" s="71" t="inlineStr">
        <is>
          <t>T-M11-03, T-M13-03  Feed Budget</t>
        </is>
      </c>
    </row>
    <row r="2" ht="15" customHeight="1" s="54">
      <c r="A2" s="72" t="inlineStr">
        <is>
          <t>How much feed the stock needs and what it costs (Majors M11, M13).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3" t="n"/>
      <c r="B5" s="73" t="inlineStr">
        <is>
          <t>Pigs</t>
        </is>
      </c>
      <c r="C5" s="73" t="inlineStr">
        <is>
          <t>Fish</t>
        </is>
      </c>
    </row>
    <row r="6" ht="15" customHeight="1" s="54">
      <c r="A6" s="78" t="inlineStr">
        <is>
          <t>Animals stocked</t>
        </is>
      </c>
      <c r="B6" s="95" t="n">
        <v>34</v>
      </c>
      <c r="C6" s="95" t="n">
        <v>2000</v>
      </c>
    </row>
    <row r="7" ht="15" customHeight="1" s="54">
      <c r="A7" s="78" t="inlineStr">
        <is>
          <t>Survival to sale (%)</t>
        </is>
      </c>
      <c r="B7" s="96" t="n">
        <v>0.96</v>
      </c>
      <c r="C7" s="96" t="n">
        <v>0.8</v>
      </c>
    </row>
    <row r="8" ht="15" customHeight="1" s="54">
      <c r="A8" s="78" t="inlineStr">
        <is>
          <t>Starting weight (kg)</t>
        </is>
      </c>
      <c r="B8" s="81" t="n">
        <v>7</v>
      </c>
      <c r="C8" s="81" t="n">
        <v>0.01</v>
      </c>
    </row>
    <row r="9" ht="15" customHeight="1" s="54">
      <c r="A9" s="78" t="inlineStr">
        <is>
          <t>Sale weight (kg)</t>
        </is>
      </c>
      <c r="B9" s="81" t="n">
        <v>95</v>
      </c>
      <c r="C9" s="81" t="n">
        <v>0.4</v>
      </c>
    </row>
    <row r="10" ht="15" customHeight="1" s="54">
      <c r="A10" s="78" t="inlineStr">
        <is>
          <t>Feed conversion ratio</t>
        </is>
      </c>
      <c r="B10" s="81" t="n">
        <v>2.9</v>
      </c>
      <c r="C10" s="81" t="n">
        <v>1.6</v>
      </c>
    </row>
    <row r="11" ht="15" customHeight="1" s="54">
      <c r="A11" s="78" t="inlineStr">
        <is>
          <t>Feed price per kg</t>
        </is>
      </c>
      <c r="B11" s="90" t="n">
        <v>0.42</v>
      </c>
      <c r="C11" s="90" t="n">
        <v>0.75</v>
      </c>
    </row>
    <row r="12" ht="15" customHeight="1" s="54">
      <c r="A12" s="78" t="inlineStr">
        <is>
          <t>Weight gained in total (kg)</t>
        </is>
      </c>
      <c r="B12" s="103">
        <f>B6*B7*(B9-B8)</f>
        <v/>
      </c>
      <c r="C12" s="103">
        <f>C6*C7*(C9-C8)</f>
        <v/>
      </c>
    </row>
    <row r="13" ht="15" customHeight="1" s="54">
      <c r="A13" s="91" t="inlineStr">
        <is>
          <t>FEED NEEDED (kg)</t>
        </is>
      </c>
      <c r="B13" s="111">
        <f>B12*B10</f>
        <v/>
      </c>
      <c r="C13" s="111">
        <f>C12*C10</f>
        <v/>
      </c>
    </row>
    <row r="14" ht="15" customHeight="1" s="54">
      <c r="A14" s="91" t="inlineStr">
        <is>
          <t>FEED COST</t>
        </is>
      </c>
      <c r="B14" s="93">
        <f>B13*B11</f>
        <v/>
      </c>
      <c r="C14" s="93">
        <f>C13*C11</f>
        <v/>
      </c>
    </row>
    <row r="15" ht="15" customHeight="1" s="54">
      <c r="A15" s="78" t="inlineStr">
        <is>
          <t>Feed cost per kg sold</t>
        </is>
      </c>
      <c r="B15" s="88">
        <f>IFERROR(B14/(B6*B7*B9),0)</f>
        <v/>
      </c>
      <c r="C15" s="88">
        <f>IFERROR(C14/(C6*C7*C9),0)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0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1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71" t="inlineStr">
        <is>
          <t>T-M11-04  Batch Margin</t>
        </is>
      </c>
    </row>
    <row r="2" ht="15" customHeight="1" s="54">
      <c r="A2" s="72" t="inlineStr">
        <is>
          <t>What one batch of pigs earns after feed and every other cost (Major M11).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Pigs in the batch</t>
        </is>
      </c>
      <c r="B5" s="95" t="n">
        <v>34</v>
      </c>
    </row>
    <row r="6" ht="15" customHeight="1" s="54">
      <c r="A6" s="78" t="inlineStr">
        <is>
          <t>Live weight at sale (kg)</t>
        </is>
      </c>
      <c r="B6" s="95" t="n">
        <v>95</v>
      </c>
    </row>
    <row r="7" ht="15" customHeight="1" s="54">
      <c r="A7" s="78" t="inlineStr">
        <is>
          <t>Dressing percentage</t>
        </is>
      </c>
      <c r="B7" s="96" t="n">
        <v>0.75</v>
      </c>
    </row>
    <row r="8" ht="15" customHeight="1" s="54">
      <c r="A8" s="78" t="inlineStr">
        <is>
          <t>Price per kg carcass</t>
        </is>
      </c>
      <c r="B8" s="90" t="n">
        <v>2.9</v>
      </c>
    </row>
    <row r="9" ht="15" customHeight="1" s="54">
      <c r="A9" s="78" t="inlineStr">
        <is>
          <t>Feed cost for the batch</t>
        </is>
      </c>
      <c r="B9" s="88">
        <f>'Feed Budget'!B14</f>
        <v/>
      </c>
    </row>
    <row r="10" ht="15" customHeight="1" s="54">
      <c r="A10" s="78" t="inlineStr">
        <is>
          <t>Weaner or piglet cost per pig</t>
        </is>
      </c>
      <c r="B10" s="90" t="n">
        <v>0</v>
      </c>
    </row>
    <row r="11" ht="15" customHeight="1" s="54">
      <c r="A11" s="78" t="inlineStr">
        <is>
          <t>Veterinary per pig</t>
        </is>
      </c>
      <c r="B11" s="90" t="n">
        <v>3</v>
      </c>
    </row>
    <row r="12" ht="15" customHeight="1" s="54">
      <c r="A12" s="78" t="inlineStr">
        <is>
          <t>Transport and slaughter per pig</t>
        </is>
      </c>
      <c r="B12" s="90" t="n">
        <v>8</v>
      </c>
    </row>
    <row r="13" ht="15" customHeight="1" s="54">
      <c r="A13" s="78" t="inlineStr">
        <is>
          <t>Other costs for the batch</t>
        </is>
      </c>
      <c r="B13" s="90" t="n">
        <v>80</v>
      </c>
    </row>
    <row r="14"/>
    <row r="15" ht="15" customHeight="1" s="54">
      <c r="A15" s="78" t="inlineStr">
        <is>
          <t>Income</t>
        </is>
      </c>
      <c r="B15" s="88">
        <f>B5*B6*B7*B8</f>
        <v/>
      </c>
    </row>
    <row r="16" ht="15" customHeight="1" s="54">
      <c r="A16" s="78" t="inlineStr">
        <is>
          <t>Costs</t>
        </is>
      </c>
      <c r="B16" s="88">
        <f>B9+B5*(B10+B11+B12)+B13</f>
        <v/>
      </c>
    </row>
    <row r="17" ht="15" customHeight="1" s="54">
      <c r="A17" s="91" t="inlineStr">
        <is>
          <t>BATCH MARGIN</t>
        </is>
      </c>
      <c r="B17" s="93">
        <f>B15-B16</f>
        <v/>
      </c>
    </row>
    <row r="18" ht="15" customHeight="1" s="54">
      <c r="A18" s="78" t="inlineStr">
        <is>
          <t>Margin per pig</t>
        </is>
      </c>
      <c r="B18" s="88">
        <f>IFERROR(B17/B5,0)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1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2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71" t="inlineStr">
        <is>
          <t>T-M12-02  Broiler Batch Calculator</t>
        </is>
      </c>
    </row>
    <row r="2" ht="15" customHeight="1" s="54">
      <c r="A2" s="72" t="inlineStr">
        <is>
          <t>What one batch of broilers earns, and the year at this rate (Major M12).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Day-old chicks bought</t>
        </is>
      </c>
      <c r="B5" s="95" t="n">
        <v>300</v>
      </c>
    </row>
    <row r="6" ht="15" customHeight="1" s="54">
      <c r="A6" s="78" t="inlineStr">
        <is>
          <t>Price per chick</t>
        </is>
      </c>
      <c r="B6" s="90" t="n">
        <v>0.75</v>
      </c>
    </row>
    <row r="7" ht="15" customHeight="1" s="54">
      <c r="A7" s="78" t="inlineStr">
        <is>
          <t>Mortality (%)</t>
        </is>
      </c>
      <c r="B7" s="96" t="n">
        <v>0.05</v>
      </c>
    </row>
    <row r="8" ht="15" customHeight="1" s="54">
      <c r="A8" s="78" t="inlineStr">
        <is>
          <t>Live weight at sale (kg)</t>
        </is>
      </c>
      <c r="B8" s="81" t="n">
        <v>2.2</v>
      </c>
    </row>
    <row r="9" ht="15" customHeight="1" s="54">
      <c r="A9" s="78" t="inlineStr">
        <is>
          <t>Feed conversion ratio</t>
        </is>
      </c>
      <c r="B9" s="81" t="n">
        <v>1.7</v>
      </c>
    </row>
    <row r="10" ht="15" customHeight="1" s="54">
      <c r="A10" s="78" t="inlineStr">
        <is>
          <t>Feed price per kg</t>
        </is>
      </c>
      <c r="B10" s="90" t="n">
        <v>0.62</v>
      </c>
    </row>
    <row r="11" ht="15" customHeight="1" s="54">
      <c r="A11" s="78" t="inlineStr">
        <is>
          <t>Vaccines and medicine for the batch</t>
        </is>
      </c>
      <c r="B11" s="90" t="n">
        <v>25</v>
      </c>
    </row>
    <row r="12" ht="15" customHeight="1" s="54">
      <c r="A12" s="78" t="inlineStr">
        <is>
          <t>Heating, bedding and power for the batch</t>
        </is>
      </c>
      <c r="B12" s="90" t="n">
        <v>60</v>
      </c>
    </row>
    <row r="13" ht="15" customHeight="1" s="54">
      <c r="A13" s="78" t="inlineStr">
        <is>
          <t>Labour for the batch</t>
        </is>
      </c>
      <c r="B13" s="90" t="n">
        <v>90</v>
      </c>
    </row>
    <row r="14" ht="15" customHeight="1" s="54">
      <c r="A14" s="78" t="inlineStr">
        <is>
          <t>Price per bird sold live</t>
        </is>
      </c>
      <c r="B14" s="90" t="n">
        <v>5</v>
      </c>
    </row>
    <row r="15" ht="15" customHeight="1" s="54">
      <c r="A15" s="78" t="inlineStr">
        <is>
          <t>Batches per year</t>
        </is>
      </c>
      <c r="B15" s="95" t="n">
        <v>6</v>
      </c>
    </row>
    <row r="16"/>
    <row r="17" ht="15" customHeight="1" s="54">
      <c r="A17" s="78" t="inlineStr">
        <is>
          <t>Birds sold</t>
        </is>
      </c>
      <c r="B17" s="109">
        <f>ROUND(B5*(1-B7),0)</f>
        <v/>
      </c>
    </row>
    <row r="18" ht="15" customHeight="1" s="54">
      <c r="A18" s="78" t="inlineStr">
        <is>
          <t>Feed used (kg)</t>
        </is>
      </c>
      <c r="B18" s="103">
        <f>B17*B8*B9</f>
        <v/>
      </c>
    </row>
    <row r="19" ht="15" customHeight="1" s="54">
      <c r="A19" s="78" t="inlineStr">
        <is>
          <t>Income</t>
        </is>
      </c>
      <c r="B19" s="88">
        <f>B17*B14</f>
        <v/>
      </c>
    </row>
    <row r="20" ht="15" customHeight="1" s="54">
      <c r="A20" s="78" t="inlineStr">
        <is>
          <t>Costs</t>
        </is>
      </c>
      <c r="B20" s="88">
        <f>B5*B6+B18*B10+B11+B12+B13</f>
        <v/>
      </c>
    </row>
    <row r="21" ht="15" customHeight="1" s="54">
      <c r="A21" s="91" t="inlineStr">
        <is>
          <t>MARGIN PER BATCH</t>
        </is>
      </c>
      <c r="B21" s="93">
        <f>B19-B20</f>
        <v/>
      </c>
    </row>
    <row r="22" ht="15" customHeight="1" s="54">
      <c r="A22" s="91" t="inlineStr">
        <is>
          <t>MARGIN PER YEAR</t>
        </is>
      </c>
      <c r="B22" s="93">
        <f>B21*B15</f>
        <v/>
      </c>
    </row>
    <row r="23" ht="15" customHeight="1" s="54">
      <c r="A23" s="78" t="inlineStr">
        <is>
          <t>Break-even price per bird</t>
        </is>
      </c>
      <c r="B23" s="88">
        <f>IFERROR(B20/B17,0)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2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2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71" t="inlineStr">
        <is>
          <t>T-M12-03  Layer Flock Calculator</t>
        </is>
      </c>
    </row>
    <row r="2" ht="15" customHeight="1" s="54">
      <c r="A2" s="72" t="inlineStr">
        <is>
          <t>What a flock of layers earns over a laying cycle (Major M12).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Point-of-lay hens</t>
        </is>
      </c>
      <c r="B5" s="95" t="n">
        <v>200</v>
      </c>
    </row>
    <row r="6" ht="15" customHeight="1" s="54">
      <c r="A6" s="78" t="inlineStr">
        <is>
          <t>Cost per point-of-lay hen</t>
        </is>
      </c>
      <c r="B6" s="90" t="n">
        <v>6</v>
      </c>
    </row>
    <row r="7" ht="15" customHeight="1" s="54">
      <c r="A7" s="78" t="inlineStr">
        <is>
          <t>Laying months in the cycle</t>
        </is>
      </c>
      <c r="B7" s="95" t="n">
        <v>14</v>
      </c>
    </row>
    <row r="8" ht="15" customHeight="1" s="54">
      <c r="A8" s="78" t="inlineStr">
        <is>
          <t>Average lay rate (%)</t>
        </is>
      </c>
      <c r="B8" s="96" t="n">
        <v>0.8</v>
      </c>
    </row>
    <row r="9" ht="15" customHeight="1" s="54">
      <c r="A9" s="78" t="inlineStr">
        <is>
          <t>Mortality over the cycle (%)</t>
        </is>
      </c>
      <c r="B9" s="96" t="n">
        <v>0.06</v>
      </c>
    </row>
    <row r="10" ht="15" customHeight="1" s="54">
      <c r="A10" s="78" t="inlineStr">
        <is>
          <t>Feed per hen per day (grams)</t>
        </is>
      </c>
      <c r="B10" s="95" t="n">
        <v>115</v>
      </c>
    </row>
    <row r="11" ht="15" customHeight="1" s="54">
      <c r="A11" s="78" t="inlineStr">
        <is>
          <t>Feed price per kg</t>
        </is>
      </c>
      <c r="B11" s="90" t="n">
        <v>0.55</v>
      </c>
    </row>
    <row r="12" ht="15" customHeight="1" s="54">
      <c r="A12" s="78" t="inlineStr">
        <is>
          <t>Price per tray of 30 eggs</t>
        </is>
      </c>
      <c r="B12" s="90" t="n">
        <v>4.2</v>
      </c>
    </row>
    <row r="13" ht="15" customHeight="1" s="54">
      <c r="A13" s="78" t="inlineStr">
        <is>
          <t>Price per spent hen at the end</t>
        </is>
      </c>
      <c r="B13" s="90" t="n">
        <v>2.5</v>
      </c>
    </row>
    <row r="14" ht="15" customHeight="1" s="54">
      <c r="A14" s="78" t="inlineStr">
        <is>
          <t>Other costs per month</t>
        </is>
      </c>
      <c r="B14" s="90" t="n">
        <v>60</v>
      </c>
    </row>
    <row r="15"/>
    <row r="16" ht="15" customHeight="1" s="54">
      <c r="A16" s="78" t="inlineStr">
        <is>
          <t>Average hens in lay</t>
        </is>
      </c>
      <c r="B16" s="109">
        <f>B5*(1-B9/2)</f>
        <v/>
      </c>
    </row>
    <row r="17" ht="15" customHeight="1" s="54">
      <c r="A17" s="78" t="inlineStr">
        <is>
          <t>Trays of eggs in the cycle</t>
        </is>
      </c>
      <c r="B17" s="103">
        <f>B16*B8*B7*30.4/30</f>
        <v/>
      </c>
    </row>
    <row r="18" ht="15" customHeight="1" s="54">
      <c r="A18" s="78" t="inlineStr">
        <is>
          <t>Feed used (kg)</t>
        </is>
      </c>
      <c r="B18" s="103">
        <f>B16*B10/1000*B7*30.4</f>
        <v/>
      </c>
    </row>
    <row r="19" ht="15" customHeight="1" s="54">
      <c r="A19" s="78" t="inlineStr">
        <is>
          <t>Income</t>
        </is>
      </c>
      <c r="B19" s="88">
        <f>B17*B12+B5*(1-B9)*B13</f>
        <v/>
      </c>
    </row>
    <row r="20" ht="15" customHeight="1" s="54">
      <c r="A20" s="78" t="inlineStr">
        <is>
          <t>Costs</t>
        </is>
      </c>
      <c r="B20" s="88">
        <f>B5*B6+B18*B11+B14*B7</f>
        <v/>
      </c>
    </row>
    <row r="21" ht="15" customHeight="1" s="54">
      <c r="A21" s="91" t="inlineStr">
        <is>
          <t>MARGIN FOR THE CYCLE</t>
        </is>
      </c>
      <c r="B21" s="93">
        <f>B19-B20</f>
        <v/>
      </c>
    </row>
    <row r="22" ht="15" customHeight="1" s="54">
      <c r="A22" s="91" t="inlineStr">
        <is>
          <t>Margin per month</t>
        </is>
      </c>
      <c r="B22" s="93">
        <f>IFERROR(B21/B7,0)</f>
        <v/>
      </c>
    </row>
    <row r="23" ht="15" customHeight="1" s="54">
      <c r="A23" s="78" t="inlineStr">
        <is>
          <t>Feed cost per tray</t>
        </is>
      </c>
      <c r="B23" s="88">
        <f>IFERROR(B18*B11/B17,0)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3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1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71" t="inlineStr">
        <is>
          <t>T-M12-04  Feed Conversion Calculator</t>
        </is>
      </c>
    </row>
    <row r="2" ht="15" customHeight="1" s="54">
      <c r="A2" s="72" t="inlineStr">
        <is>
          <t>How efficiently your stock turns feed into weight (Major M12, also M9 and M11).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Feed used (kg)</t>
        </is>
      </c>
      <c r="B5" s="112" t="n">
        <v>1100</v>
      </c>
    </row>
    <row r="6" ht="15" customHeight="1" s="54">
      <c r="A6" s="78" t="inlineStr">
        <is>
          <t>Animals at the end</t>
        </is>
      </c>
      <c r="B6" s="95" t="n">
        <v>285</v>
      </c>
    </row>
    <row r="7" ht="15" customHeight="1" s="54">
      <c r="A7" s="78" t="inlineStr">
        <is>
          <t>Average weight at the start (kg)</t>
        </is>
      </c>
      <c r="B7" s="81" t="n">
        <v>0.04</v>
      </c>
    </row>
    <row r="8" ht="15" customHeight="1" s="54">
      <c r="A8" s="78" t="inlineStr">
        <is>
          <t>Average weight at the end (kg)</t>
        </is>
      </c>
      <c r="B8" s="81" t="n">
        <v>2.2</v>
      </c>
    </row>
    <row r="9" ht="15" customHeight="1" s="54">
      <c r="A9" s="78" t="inlineStr">
        <is>
          <t>Target feed conversion ratio</t>
        </is>
      </c>
      <c r="B9" s="81" t="n">
        <v>1.7</v>
      </c>
    </row>
    <row r="10" ht="15" customHeight="1" s="54">
      <c r="A10" s="78" t="inlineStr">
        <is>
          <t>Feed price per kg</t>
        </is>
      </c>
      <c r="B10" s="90" t="n">
        <v>0.62</v>
      </c>
    </row>
    <row r="11" ht="15" customHeight="1" s="54">
      <c r="A11" s="78" t="inlineStr">
        <is>
          <t>Weight gained (kg)</t>
        </is>
      </c>
      <c r="B11" s="103">
        <f>B6*(B8-B7)</f>
        <v/>
      </c>
    </row>
    <row r="12" ht="15" customHeight="1" s="54">
      <c r="A12" s="91" t="inlineStr">
        <is>
          <t>YOUR FEED CONVERSION RATIO</t>
        </is>
      </c>
      <c r="B12" s="92">
        <f>IFERROR(B5/B11,0)</f>
        <v/>
      </c>
    </row>
    <row r="13" ht="15" customHeight="1" s="54">
      <c r="A13" s="78" t="inlineStr">
        <is>
          <t>Feed cost per kg gained</t>
        </is>
      </c>
      <c r="B13" s="88">
        <f>B12*B10</f>
        <v/>
      </c>
    </row>
    <row r="14" ht="15" customHeight="1" s="54">
      <c r="A14" s="91" t="inlineStr">
        <is>
          <t>Check</t>
        </is>
      </c>
      <c r="B14" s="101">
        <f>IF(B12&lt;=B9,"At or better than target","Worse than target - check feed quality, health and housing")</f>
        <v/>
      </c>
    </row>
    <row r="15" ht="15" customHeight="1" s="54">
      <c r="A15" s="78" t="inlineStr">
        <is>
          <t>Cost of the gap this batch</t>
        </is>
      </c>
      <c r="B15" s="88">
        <f>MAX(0,(B12-B9)*B11*B10)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4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2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71" t="inlineStr">
        <is>
          <t>T-M13-02  Pond Stocking and Harvest</t>
        </is>
      </c>
    </row>
    <row r="2" ht="15" customHeight="1" s="54">
      <c r="A2" s="72" t="inlineStr">
        <is>
          <t>How many fish to stock and what the harvest is worth (Major M13).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Number of ponds</t>
        </is>
      </c>
      <c r="B5" s="95" t="n">
        <v>2</v>
      </c>
    </row>
    <row r="6" ht="15" customHeight="1" s="54">
      <c r="A6" s="78" t="inlineStr">
        <is>
          <t>Water area per pond (square metres)</t>
        </is>
      </c>
      <c r="B6" s="112" t="n">
        <v>500</v>
      </c>
    </row>
    <row r="7" ht="15" customHeight="1" s="54">
      <c r="A7" s="78" t="inlineStr">
        <is>
          <t>Stocking density (fingerlings per square metre)</t>
        </is>
      </c>
      <c r="B7" s="105" t="n">
        <v>3</v>
      </c>
    </row>
    <row r="8" ht="15" customHeight="1" s="54">
      <c r="A8" s="78" t="inlineStr">
        <is>
          <t>Price per fingerling</t>
        </is>
      </c>
      <c r="B8" s="100" t="n">
        <v>0.08</v>
      </c>
    </row>
    <row r="9" ht="15" customHeight="1" s="54">
      <c r="A9" s="78" t="inlineStr">
        <is>
          <t>Survival to harvest (%)</t>
        </is>
      </c>
      <c r="B9" s="96" t="n">
        <v>0.8</v>
      </c>
    </row>
    <row r="10" ht="15" customHeight="1" s="54">
      <c r="A10" s="78" t="inlineStr">
        <is>
          <t>Harvest weight per fish (kg)</t>
        </is>
      </c>
      <c r="B10" s="81" t="n">
        <v>0.4</v>
      </c>
    </row>
    <row r="11" ht="15" customHeight="1" s="54">
      <c r="A11" s="78" t="inlineStr">
        <is>
          <t>Price per kg at the farm</t>
        </is>
      </c>
      <c r="B11" s="90" t="n">
        <v>3.2</v>
      </c>
    </row>
    <row r="12" ht="15" customHeight="1" s="54">
      <c r="A12" s="78" t="inlineStr">
        <is>
          <t>Months to harvest</t>
        </is>
      </c>
      <c r="B12" s="95" t="n">
        <v>7</v>
      </c>
    </row>
    <row r="13" ht="15" customHeight="1" s="54">
      <c r="A13" s="78" t="inlineStr">
        <is>
          <t>Fingerlings to stock</t>
        </is>
      </c>
      <c r="B13" s="103">
        <f>B5*B6*B7</f>
        <v/>
      </c>
    </row>
    <row r="14" ht="15" customHeight="1" s="54">
      <c r="A14" s="78" t="inlineStr">
        <is>
          <t>Fingerling cost</t>
        </is>
      </c>
      <c r="B14" s="88">
        <f>B13*B8</f>
        <v/>
      </c>
    </row>
    <row r="15" ht="15" customHeight="1" s="54">
      <c r="A15" s="78" t="inlineStr">
        <is>
          <t>Fish harvested</t>
        </is>
      </c>
      <c r="B15" s="103">
        <f>B13*B9</f>
        <v/>
      </c>
    </row>
    <row r="16" ht="15" customHeight="1" s="54">
      <c r="A16" s="91" t="inlineStr">
        <is>
          <t>HARVEST (kg)</t>
        </is>
      </c>
      <c r="B16" s="111">
        <f>B15*B10</f>
        <v/>
      </c>
    </row>
    <row r="17" ht="15" customHeight="1" s="54">
      <c r="A17" s="91" t="inlineStr">
        <is>
          <t>HARVEST VALUE</t>
        </is>
      </c>
      <c r="B17" s="93">
        <f>B16*B11</f>
        <v/>
      </c>
    </row>
    <row r="18" ht="15" customHeight="1" s="54">
      <c r="A18" s="78" t="inlineStr">
        <is>
          <t>Feed cost (from Feed Budget)</t>
        </is>
      </c>
      <c r="B18" s="88">
        <f>'Feed Budget'!C14</f>
        <v/>
      </c>
    </row>
    <row r="19" ht="15" customHeight="1" s="54">
      <c r="A19" s="91" t="inlineStr">
        <is>
          <t>Margin before labour and power</t>
        </is>
      </c>
      <c r="B19" s="93">
        <f>B17-B14-B18</f>
        <v/>
      </c>
    </row>
    <row r="20" ht="15" customHeight="1" s="54">
      <c r="A20" s="78" t="inlineStr">
        <is>
          <t>Harvests per year</t>
        </is>
      </c>
      <c r="B20" s="97">
        <f>IFERROR(12/B12,0)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5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1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71" t="inlineStr">
        <is>
          <t>T-M14-02  Clip and Fleece Income</t>
        </is>
      </c>
    </row>
    <row r="2" ht="15" customHeight="1" s="54">
      <c r="A2" s="72" t="inlineStr">
        <is>
          <t>What the flock earns from wool or mohair each year (Major M14).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Animals shorn</t>
        </is>
      </c>
      <c r="B5" s="95" t="n">
        <v>60</v>
      </c>
    </row>
    <row r="6" ht="15" customHeight="1" s="54">
      <c r="A6" s="78" t="inlineStr">
        <is>
          <t>Shearings per year (wool 1, mohair 2)</t>
        </is>
      </c>
      <c r="B6" s="95" t="n">
        <v>1</v>
      </c>
    </row>
    <row r="7" ht="15" customHeight="1" s="54">
      <c r="A7" s="78" t="inlineStr">
        <is>
          <t>Greasy fleece per animal per shearing (kg)</t>
        </is>
      </c>
      <c r="B7" s="81" t="n">
        <v>4.5</v>
      </c>
    </row>
    <row r="8" ht="15" customHeight="1" s="54">
      <c r="A8" s="78" t="inlineStr">
        <is>
          <t>Clean yield (%)</t>
        </is>
      </c>
      <c r="B8" s="96" t="n">
        <v>0.62</v>
      </c>
    </row>
    <row r="9" ht="15" customHeight="1" s="54">
      <c r="A9" s="78" t="inlineStr">
        <is>
          <t>Price per kg clean</t>
        </is>
      </c>
      <c r="B9" s="90" t="n">
        <v>9</v>
      </c>
    </row>
    <row r="10" ht="15" customHeight="1" s="54">
      <c r="A10" s="78" t="inlineStr">
        <is>
          <t>Shearing cost per animal</t>
        </is>
      </c>
      <c r="B10" s="90" t="n">
        <v>2</v>
      </c>
    </row>
    <row r="11" ht="15" customHeight="1" s="54">
      <c r="A11" s="78" t="inlineStr">
        <is>
          <t>Classing, packing and transport per kg greasy</t>
        </is>
      </c>
      <c r="B11" s="90" t="n">
        <v>0.6</v>
      </c>
    </row>
    <row r="12" ht="15" customHeight="1" s="54">
      <c r="A12" s="78" t="inlineStr">
        <is>
          <t>Broker commission (%)</t>
        </is>
      </c>
      <c r="B12" s="98" t="n">
        <v>0.04</v>
      </c>
    </row>
    <row r="13" ht="15" customHeight="1" s="54">
      <c r="A13" s="78" t="inlineStr">
        <is>
          <t>Greasy clip (kg)</t>
        </is>
      </c>
      <c r="B13" s="103">
        <f>B5*B6*B7</f>
        <v/>
      </c>
    </row>
    <row r="14" ht="15" customHeight="1" s="54">
      <c r="A14" s="78" t="inlineStr">
        <is>
          <t>Clean fibre (kg)</t>
        </is>
      </c>
      <c r="B14" s="103">
        <f>B13*B8</f>
        <v/>
      </c>
    </row>
    <row r="15" ht="15" customHeight="1" s="54">
      <c r="A15" s="78" t="inlineStr">
        <is>
          <t>Gross income</t>
        </is>
      </c>
      <c r="B15" s="88">
        <f>B14*B9</f>
        <v/>
      </c>
    </row>
    <row r="16" ht="15" customHeight="1" s="54">
      <c r="A16" s="78" t="inlineStr">
        <is>
          <t>Costs</t>
        </is>
      </c>
      <c r="B16" s="88">
        <f>B5*B6*B10+B13*B11+B15*B12</f>
        <v/>
      </c>
    </row>
    <row r="17" ht="15" customHeight="1" s="54">
      <c r="A17" s="91" t="inlineStr">
        <is>
          <t>NET FIBRE INCOME PER YEAR</t>
        </is>
      </c>
      <c r="B17" s="93">
        <f>B15-B16</f>
        <v/>
      </c>
    </row>
    <row r="18" ht="15" customHeight="1" s="54">
      <c r="A18" s="78" t="inlineStr">
        <is>
          <t>Net per animal</t>
        </is>
      </c>
      <c r="B18" s="88">
        <f>IFERROR(B17/B5,0)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6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71" t="inlineStr">
        <is>
          <t>T-M14-03, T-M15-02, T-M16-02, T-M17/18/19/20-04  Processing Margin</t>
        </is>
      </c>
    </row>
    <row r="2" ht="15" customHeight="1" s="54">
      <c r="A2" s="72" t="inlineStr">
        <is>
          <t>Whether processing pays more than selling raw (Majors M14-M20; also C8).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94" t="inlineStr">
        <is>
          <t>Take this step: source equipment and packaging on one quote through Musika.</t>
        </is>
      </c>
    </row>
    <row r="5" ht="15" customHeight="1" s="54">
      <c r="A5" s="78" t="inlineStr">
        <is>
          <t>Raw material processed (units: kg, hide, tonne)</t>
        </is>
      </c>
      <c r="B5" s="112" t="n">
        <v>100</v>
      </c>
    </row>
    <row r="6" ht="15" customHeight="1" s="54">
      <c r="A6" s="78" t="inlineStr">
        <is>
          <t>Value of the raw material if sold raw, per unit</t>
        </is>
      </c>
      <c r="B6" s="90" t="n">
        <v>3</v>
      </c>
    </row>
    <row r="7" ht="15" customHeight="1" s="54">
      <c r="A7" s="78" t="inlineStr">
        <is>
          <t>Conversion: finished units from one raw unit</t>
        </is>
      </c>
      <c r="B7" s="100" t="n">
        <v>0.35</v>
      </c>
    </row>
    <row r="8" ht="15" customHeight="1" s="54">
      <c r="A8" s="78" t="inlineStr">
        <is>
          <t>Price per finished unit</t>
        </is>
      </c>
      <c r="B8" s="90" t="n">
        <v>22</v>
      </c>
    </row>
    <row r="9" ht="15" customHeight="1" s="54">
      <c r="A9" s="78" t="inlineStr">
        <is>
          <t>Processing materials per finished unit</t>
        </is>
      </c>
      <c r="B9" s="90" t="n">
        <v>2.5</v>
      </c>
    </row>
    <row r="10" ht="15" customHeight="1" s="54">
      <c r="A10" s="78" t="inlineStr">
        <is>
          <t>Packaging and labels per finished unit</t>
        </is>
      </c>
      <c r="B10" s="90" t="n">
        <v>1.2</v>
      </c>
    </row>
    <row r="11" ht="15" customHeight="1" s="54">
      <c r="A11" s="78" t="inlineStr">
        <is>
          <t>Labour for the run</t>
        </is>
      </c>
      <c r="B11" s="90" t="n">
        <v>120</v>
      </c>
    </row>
    <row r="12" ht="15" customHeight="1" s="54">
      <c r="A12" s="78" t="inlineStr">
        <is>
          <t>Power, rent and equipment use for the run</t>
        </is>
      </c>
      <c r="B12" s="90" t="n">
        <v>60</v>
      </c>
    </row>
    <row r="13" ht="15" customHeight="1" s="54">
      <c r="A13" s="78" t="inlineStr">
        <is>
          <t>Selling and distribution (% of sales)</t>
        </is>
      </c>
      <c r="B13" s="98" t="n">
        <v>0.1</v>
      </c>
    </row>
    <row r="14"/>
    <row r="15" ht="15" customHeight="1" s="54">
      <c r="A15" s="78" t="inlineStr">
        <is>
          <t>Finished units</t>
        </is>
      </c>
      <c r="B15" s="103">
        <f>B5*B7</f>
        <v/>
      </c>
    </row>
    <row r="16" ht="15" customHeight="1" s="54">
      <c r="A16" s="78" t="inlineStr">
        <is>
          <t>Sales of finished product</t>
        </is>
      </c>
      <c r="B16" s="88">
        <f>B15*B8</f>
        <v/>
      </c>
    </row>
    <row r="17" ht="15" customHeight="1" s="54">
      <c r="A17" s="78" t="inlineStr">
        <is>
          <t>Processing costs</t>
        </is>
      </c>
      <c r="B17" s="88">
        <f>B15*(B9+B10)+B11+B12+B16*B13</f>
        <v/>
      </c>
    </row>
    <row r="18" ht="15" customHeight="1" s="54">
      <c r="A18" s="78" t="inlineStr">
        <is>
          <t>Value given up by not selling raw</t>
        </is>
      </c>
      <c r="B18" s="88">
        <f>B5*B6</f>
        <v/>
      </c>
    </row>
    <row r="19" ht="15" customHeight="1" s="54">
      <c r="A19" s="91" t="inlineStr">
        <is>
          <t>EXTRA MARGIN FROM PROCESSING</t>
        </is>
      </c>
      <c r="B19" s="93">
        <f>B16-B17-B18</f>
        <v/>
      </c>
    </row>
    <row r="20" ht="15" customHeight="1" s="54">
      <c r="A20" s="91" t="inlineStr">
        <is>
          <t>Verdict</t>
        </is>
      </c>
      <c r="B20" s="101">
        <f>IF(B19&gt;0,"Processing adds value","Sell raw")</f>
        <v/>
      </c>
    </row>
    <row r="21" ht="15" customHeight="1" s="54">
      <c r="A21" s="76" t="inlineStr">
        <is>
          <t>Example: goat skins cured into leather goods. Change the units for your Major.</t>
        </is>
      </c>
    </row>
  </sheetData>
  <hyperlinks>
    <hyperlink xmlns:r="http://schemas.openxmlformats.org/officeDocument/2006/relationships" ref="A4" display="Take this step: source equipment and packaging on one quote through Musika.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2"/>
</worksheet>
</file>

<file path=xl/worksheets/sheet37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B2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53" min="1" max="1"/>
    <col width="16" customWidth="1" style="53" min="2" max="2"/>
  </cols>
  <sheetData>
    <row r="1" ht="17.25" customHeight="1" s="54">
      <c r="A1" s="71" t="inlineStr">
        <is>
          <t>T-M17/18/19/20-03  Contract Grower Income</t>
        </is>
      </c>
    </row>
    <row r="2" ht="15" customHeight="1" s="54">
      <c r="A2" s="72" t="inlineStr">
        <is>
          <t>What a contract or outgrower scheme pays you after every deduction (Majors M17-M20).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Hectares under contract</t>
        </is>
      </c>
      <c r="B5" s="81" t="n">
        <v>1</v>
      </c>
    </row>
    <row r="6" ht="15" customHeight="1" s="54">
      <c r="A6" s="78" t="inlineStr">
        <is>
          <t>Yield per hectare (kg)</t>
        </is>
      </c>
      <c r="B6" s="112" t="n">
        <v>2150</v>
      </c>
    </row>
    <row r="7" ht="15" customHeight="1" s="54">
      <c r="A7" s="78" t="inlineStr">
        <is>
          <t>Contract price per kg</t>
        </is>
      </c>
      <c r="B7" s="90" t="n">
        <v>2.55</v>
      </c>
    </row>
    <row r="8" ht="15" customHeight="1" s="54">
      <c r="A8" s="78" t="inlineStr">
        <is>
          <t>Inputs supplied on credit per ha (deducted)</t>
        </is>
      </c>
      <c r="B8" s="90" t="n">
        <v>1400</v>
      </c>
    </row>
    <row r="9" ht="15" customHeight="1" s="54">
      <c r="A9" s="78" t="inlineStr">
        <is>
          <t>Interest charged on inputs (%)</t>
        </is>
      </c>
      <c r="B9" s="98" t="n">
        <v>0.1</v>
      </c>
    </row>
    <row r="10" ht="15" customHeight="1" s="54">
      <c r="A10" s="78" t="inlineStr">
        <is>
          <t>Levies and fees (% of sales)</t>
        </is>
      </c>
      <c r="B10" s="98" t="n">
        <v>0.035</v>
      </c>
    </row>
    <row r="11" ht="15" customHeight="1" s="54">
      <c r="A11" s="78" t="inlineStr">
        <is>
          <t>Transport to floor or mill per kg</t>
        </is>
      </c>
      <c r="B11" s="90" t="n">
        <v>0.05</v>
      </c>
    </row>
    <row r="12" ht="15" customHeight="1" s="54">
      <c r="A12" s="78" t="inlineStr">
        <is>
          <t>Costs you still carry per ha (labour, fuel, curing)</t>
        </is>
      </c>
      <c r="B12" s="90" t="n">
        <v>900</v>
      </c>
    </row>
    <row r="13" ht="15" customHeight="1" s="54">
      <c r="A13" s="78" t="inlineStr">
        <is>
          <t>Gross sales</t>
        </is>
      </c>
      <c r="B13" s="88">
        <f>B5*B6*B7</f>
        <v/>
      </c>
    </row>
    <row r="14" ht="15" customHeight="1" s="54">
      <c r="A14" s="78" t="inlineStr">
        <is>
          <t>Input loan repaid</t>
        </is>
      </c>
      <c r="B14" s="88">
        <f>B5*B8*(1+B9)</f>
        <v/>
      </c>
    </row>
    <row r="15" ht="15" customHeight="1" s="54">
      <c r="A15" s="78" t="inlineStr">
        <is>
          <t>Levies, fees and transport</t>
        </is>
      </c>
      <c r="B15" s="88">
        <f>B13*B10+B5*B6*B11</f>
        <v/>
      </c>
    </row>
    <row r="16" ht="15" customHeight="1" s="54">
      <c r="A16" s="78" t="inlineStr">
        <is>
          <t>Cash paid to you</t>
        </is>
      </c>
      <c r="B16" s="88">
        <f>B13-B14-B15</f>
        <v/>
      </c>
    </row>
    <row r="17" ht="15" customHeight="1" s="54">
      <c r="A17" s="91" t="inlineStr">
        <is>
          <t>NET AFTER YOUR OWN COSTS</t>
        </is>
      </c>
      <c r="B17" s="93">
        <f>B16-B5*B12</f>
        <v/>
      </c>
    </row>
    <row r="18" ht="15" customHeight="1" s="54">
      <c r="A18" s="91" t="inlineStr">
        <is>
          <t>Net per hectare</t>
        </is>
      </c>
      <c r="B18" s="93">
        <f>IFERROR(B17/B5,0)</f>
        <v/>
      </c>
    </row>
    <row r="19" ht="15" customHeight="1" s="54">
      <c r="A19" s="78" t="inlineStr">
        <is>
          <t>Contract price needed to break even</t>
        </is>
      </c>
      <c r="B19" s="88">
        <f>IFERROR((B14+B5*B6*B11+B5*B12)/(B5*B6*(1-B10)),0)</f>
        <v/>
      </c>
    </row>
    <row r="20" ht="15" customHeight="1" s="54">
      <c r="A20" s="76" t="inlineStr">
        <is>
          <t>Example: flue-cured tobacco at the 2026 Zimbabwe contract average of US$2.55 per kg and about 2,150 kg per ha (rimai-data-layer).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8.xml><?xml version="1.0" encoding="utf-8"?>
<worksheet xmlns="http://schemas.openxmlformats.org/spreadsheetml/2006/main">
  <sheetPr filterMode="0">
    <tabColor rgb="007FA35A"/>
    <outlinePr summaryBelow="1" summaryRight="1"/>
    <pageSetUpPr fitToPage="0"/>
  </sheetPr>
  <dimension ref="A1:H1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53" min="1" max="2"/>
    <col width="14" customWidth="1" style="53" min="3" max="4"/>
    <col width="10" customWidth="1" style="53" min="5" max="5"/>
    <col width="12" customWidth="1" style="53" min="6" max="6"/>
    <col width="18" customWidth="1" style="53" min="7" max="7"/>
    <col width="22" customWidth="1" style="53" min="8" max="8"/>
  </cols>
  <sheetData>
    <row r="1" ht="17.25" customHeight="1" s="54">
      <c r="A1" s="71" t="inlineStr">
        <is>
          <t>T-M#-05  Market Price Comparator</t>
        </is>
      </c>
    </row>
    <row r="2" ht="15" customHeight="1" s="54">
      <c r="A2" s="72" t="inlineStr">
        <is>
          <t>Your price against the South African benchmark and the four local markets, in US dollars (all Majors).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/>
    <row r="5" ht="15" customHeight="1" s="54">
      <c r="A5" s="78" t="inlineStr">
        <is>
          <t>Your Major code (M1 to M20)</t>
        </is>
      </c>
      <c r="B5" s="80">
        <f>LEFT(Settings!B9,FIND(" ",Settings!B9)-1)</f>
        <v/>
      </c>
    </row>
    <row r="6" ht="15" customHeight="1" s="54">
      <c r="A6" s="78" t="inlineStr">
        <is>
          <t>Your price</t>
        </is>
      </c>
      <c r="B6" s="90" t="n">
        <v>364.75</v>
      </c>
    </row>
    <row r="7" ht="15" customHeight="1" s="54">
      <c r="A7" s="78" t="inlineStr">
        <is>
          <t>Per (t or kg)</t>
        </is>
      </c>
      <c r="B7" s="79" t="inlineStr">
        <is>
          <t>t</t>
        </is>
      </c>
    </row>
    <row r="8" ht="15" customHeight="1" s="54">
      <c r="A8" s="91" t="inlineStr">
        <is>
          <t>Your price in US$</t>
        </is>
      </c>
      <c r="B8" s="93">
        <f>IFERROR(B6/Settings!B13,"Enter rate on Currency")</f>
        <v/>
      </c>
    </row>
    <row r="9"/>
    <row r="10" ht="15" customHeight="1" s="54">
      <c r="A10" s="73" t="inlineStr">
        <is>
          <t>Market</t>
        </is>
      </c>
      <c r="B10" s="73" t="inlineStr">
        <is>
          <t>Benchmark</t>
        </is>
      </c>
      <c r="C10" s="73" t="inlineStr">
        <is>
          <t>Price</t>
        </is>
      </c>
      <c r="D10" s="73" t="inlineStr">
        <is>
          <t>Currency</t>
        </is>
      </c>
      <c r="E10" s="73" t="inlineStr">
        <is>
          <t>Per</t>
        </is>
      </c>
      <c r="F10" s="73" t="inlineStr">
        <is>
          <t>Year</t>
        </is>
      </c>
      <c r="G10" s="73" t="inlineStr">
        <is>
          <t>US$ equivalent</t>
        </is>
      </c>
      <c r="H10" s="73" t="inlineStr">
        <is>
          <t>Your price against it</t>
        </is>
      </c>
    </row>
    <row r="11" ht="15" customHeight="1" s="54">
      <c r="A11" s="91" t="inlineStr">
        <is>
          <t>South Africa</t>
        </is>
      </c>
      <c r="B11" s="80">
        <f>IFERROR(INDEX(Benchmarks!$B$5:$B$18,MATCH($B$5&amp;"|South Africa",Benchmarks!$A$5:$A$18,0)),"Not yet sourced")</f>
        <v/>
      </c>
      <c r="C11" s="88">
        <f>IFERROR(INDEX(Benchmarks!$D$5:$D$18,MATCH($B$5&amp;"|South Africa",Benchmarks!$A$5:$A$18,0)),"")</f>
        <v/>
      </c>
      <c r="D11" s="80">
        <f>IFERROR(INDEX(Benchmarks!$E$5:$E$18,MATCH($B$5&amp;"|South Africa",Benchmarks!$A$5:$A$18,0)),"")</f>
        <v/>
      </c>
      <c r="E11" s="80">
        <f>IFERROR(INDEX(Benchmarks!$F$5:$F$18,MATCH($B$5&amp;"|South Africa",Benchmarks!$A$5:$A$18,0)),"")</f>
        <v/>
      </c>
      <c r="F11" s="80">
        <f>IFERROR(INDEX(Benchmarks!$G$5:$G$18,MATCH($B$5&amp;"|South Africa",Benchmarks!$A$5:$A$18,0)),"")</f>
        <v/>
      </c>
      <c r="G11" s="88">
        <f>IFERROR(INDEX(Benchmarks!$H$5:$H$18,MATCH($B$5&amp;"|South Africa",Benchmarks!$A$5:$A$18,0)),"")</f>
        <v/>
      </c>
      <c r="H11" s="113">
        <f>IF(OR(G11="",G11="Enter rate",NOT(ISNUMBER($B$8))),"",IF(E11&lt;&gt;$B$7,"Different unit",$B$8/G11-1))</f>
        <v/>
      </c>
    </row>
    <row r="12" ht="15" customHeight="1" s="54">
      <c r="A12" s="91" t="inlineStr">
        <is>
          <t>Zimbabwe</t>
        </is>
      </c>
      <c r="B12" s="80">
        <f>IFERROR(INDEX(Benchmarks!$B$5:$B$18,MATCH($B$5&amp;"|Zimbabwe",Benchmarks!$A$5:$A$18,0)),"Not yet sourced")</f>
        <v/>
      </c>
      <c r="C12" s="88">
        <f>IFERROR(INDEX(Benchmarks!$D$5:$D$18,MATCH($B$5&amp;"|Zimbabwe",Benchmarks!$A$5:$A$18,0)),"")</f>
        <v/>
      </c>
      <c r="D12" s="80">
        <f>IFERROR(INDEX(Benchmarks!$E$5:$E$18,MATCH($B$5&amp;"|Zimbabwe",Benchmarks!$A$5:$A$18,0)),"")</f>
        <v/>
      </c>
      <c r="E12" s="80">
        <f>IFERROR(INDEX(Benchmarks!$F$5:$F$18,MATCH($B$5&amp;"|Zimbabwe",Benchmarks!$A$5:$A$18,0)),"")</f>
        <v/>
      </c>
      <c r="F12" s="80">
        <f>IFERROR(INDEX(Benchmarks!$G$5:$G$18,MATCH($B$5&amp;"|Zimbabwe",Benchmarks!$A$5:$A$18,0)),"")</f>
        <v/>
      </c>
      <c r="G12" s="88">
        <f>IFERROR(INDEX(Benchmarks!$H$5:$H$18,MATCH($B$5&amp;"|Zimbabwe",Benchmarks!$A$5:$A$18,0)),"")</f>
        <v/>
      </c>
      <c r="H12" s="113">
        <f>IF(OR(G12="",G12="Enter rate",NOT(ISNUMBER($B$8))),"",IF(E12&lt;&gt;$B$7,"Different unit",$B$8/G12-1))</f>
        <v/>
      </c>
    </row>
    <row r="13" ht="15" customHeight="1" s="54">
      <c r="A13" s="91" t="inlineStr">
        <is>
          <t>Zambia</t>
        </is>
      </c>
      <c r="B13" s="80">
        <f>IFERROR(INDEX(Benchmarks!$B$5:$B$18,MATCH($B$5&amp;"|Zambia",Benchmarks!$A$5:$A$18,0)),"Not yet sourced")</f>
        <v/>
      </c>
      <c r="C13" s="88">
        <f>IFERROR(INDEX(Benchmarks!$D$5:$D$18,MATCH($B$5&amp;"|Zambia",Benchmarks!$A$5:$A$18,0)),"")</f>
        <v/>
      </c>
      <c r="D13" s="80">
        <f>IFERROR(INDEX(Benchmarks!$E$5:$E$18,MATCH($B$5&amp;"|Zambia",Benchmarks!$A$5:$A$18,0)),"")</f>
        <v/>
      </c>
      <c r="E13" s="80">
        <f>IFERROR(INDEX(Benchmarks!$F$5:$F$18,MATCH($B$5&amp;"|Zambia",Benchmarks!$A$5:$A$18,0)),"")</f>
        <v/>
      </c>
      <c r="F13" s="80">
        <f>IFERROR(INDEX(Benchmarks!$G$5:$G$18,MATCH($B$5&amp;"|Zambia",Benchmarks!$A$5:$A$18,0)),"")</f>
        <v/>
      </c>
      <c r="G13" s="88">
        <f>IFERROR(INDEX(Benchmarks!$H$5:$H$18,MATCH($B$5&amp;"|Zambia",Benchmarks!$A$5:$A$18,0)),"")</f>
        <v/>
      </c>
      <c r="H13" s="113">
        <f>IF(OR(G13="",G13="Enter rate",NOT(ISNUMBER($B$8))),"",IF(E13&lt;&gt;$B$7,"Different unit",$B$8/G13-1))</f>
        <v/>
      </c>
    </row>
    <row r="14" ht="15" customHeight="1" s="54">
      <c r="A14" s="91" t="inlineStr">
        <is>
          <t>Botswana</t>
        </is>
      </c>
      <c r="B14" s="80">
        <f>IFERROR(INDEX(Benchmarks!$B$5:$B$18,MATCH($B$5&amp;"|Botswana",Benchmarks!$A$5:$A$18,0)),"Not yet sourced")</f>
        <v/>
      </c>
      <c r="C14" s="88">
        <f>IFERROR(INDEX(Benchmarks!$D$5:$D$18,MATCH($B$5&amp;"|Botswana",Benchmarks!$A$5:$A$18,0)),"")</f>
        <v/>
      </c>
      <c r="D14" s="80">
        <f>IFERROR(INDEX(Benchmarks!$E$5:$E$18,MATCH($B$5&amp;"|Botswana",Benchmarks!$A$5:$A$18,0)),"")</f>
        <v/>
      </c>
      <c r="E14" s="80">
        <f>IFERROR(INDEX(Benchmarks!$F$5:$F$18,MATCH($B$5&amp;"|Botswana",Benchmarks!$A$5:$A$18,0)),"")</f>
        <v/>
      </c>
      <c r="F14" s="80">
        <f>IFERROR(INDEX(Benchmarks!$G$5:$G$18,MATCH($B$5&amp;"|Botswana",Benchmarks!$A$5:$A$18,0)),"")</f>
        <v/>
      </c>
      <c r="G14" s="88">
        <f>IFERROR(INDEX(Benchmarks!$H$5:$H$18,MATCH($B$5&amp;"|Botswana",Benchmarks!$A$5:$A$18,0)),"")</f>
        <v/>
      </c>
      <c r="H14" s="113">
        <f>IF(OR(G14="",G14="Enter rate",NOT(ISNUMBER($B$8))),"",IF(E14&lt;&gt;$B$7,"Different unit",$B$8/G14-1))</f>
        <v/>
      </c>
    </row>
    <row r="15" ht="15" customHeight="1" s="54">
      <c r="A15" s="91" t="inlineStr">
        <is>
          <t>Namibia</t>
        </is>
      </c>
      <c r="B15" s="80">
        <f>IFERROR(INDEX(Benchmarks!$B$5:$B$18,MATCH($B$5&amp;"|Namibia",Benchmarks!$A$5:$A$18,0)),"Not yet sourced")</f>
        <v/>
      </c>
      <c r="C15" s="88">
        <f>IFERROR(INDEX(Benchmarks!$D$5:$D$18,MATCH($B$5&amp;"|Namibia",Benchmarks!$A$5:$A$18,0)),"")</f>
        <v/>
      </c>
      <c r="D15" s="80">
        <f>IFERROR(INDEX(Benchmarks!$E$5:$E$18,MATCH($B$5&amp;"|Namibia",Benchmarks!$A$5:$A$18,0)),"")</f>
        <v/>
      </c>
      <c r="E15" s="80">
        <f>IFERROR(INDEX(Benchmarks!$F$5:$F$18,MATCH($B$5&amp;"|Namibia",Benchmarks!$A$5:$A$18,0)),"")</f>
        <v/>
      </c>
      <c r="F15" s="80">
        <f>IFERROR(INDEX(Benchmarks!$G$5:$G$18,MATCH($B$5&amp;"|Namibia",Benchmarks!$A$5:$A$18,0)),"")</f>
        <v/>
      </c>
      <c r="G15" s="88">
        <f>IFERROR(INDEX(Benchmarks!$H$5:$H$18,MATCH($B$5&amp;"|Namibia",Benchmarks!$A$5:$A$18,0)),"")</f>
        <v/>
      </c>
      <c r="H15" s="113">
        <f>IF(OR(G15="",G15="Enter rate",NOT(ISNUMBER($B$8))),"",IF(E15&lt;&gt;$B$7,"Different unit",$B$8/G15-1))</f>
        <v/>
      </c>
    </row>
    <row r="16"/>
    <row r="17" ht="15" customHeight="1" s="54">
      <c r="A17" s="76" t="inlineStr">
        <is>
          <t>A positive figure means your price is above that market. Prices are compared only where the unit matches. Add new benchmarks on the Benchmarks sheet as the data layer grows.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xl/worksheets/sheet39.xml><?xml version="1.0" encoding="utf-8"?>
<worksheet xmlns="http://schemas.openxmlformats.org/spreadsheetml/2006/main">
  <sheetPr filterMode="0">
    <tabColor rgb="00C27A2C"/>
    <outlinePr summaryBelow="1" summaryRight="1"/>
    <pageSetUpPr fitToPage="0"/>
  </sheetPr>
  <dimension ref="A1:C5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8" customWidth="1" style="53" min="1" max="1"/>
    <col width="22" customWidth="1" style="53" min="2" max="2"/>
    <col width="40" customWidth="1" style="53" min="3" max="3"/>
  </cols>
  <sheetData>
    <row r="1" ht="17.25" customHeight="1" s="54">
      <c r="A1" s="71" t="inlineStr">
        <is>
          <t>T-CAP-01  Venture Plan Builder</t>
        </is>
      </c>
    </row>
    <row r="2" ht="15" customHeight="1" s="54">
      <c r="A2" s="72" t="inlineStr">
        <is>
          <t>Your results on one page, ready for the Capstone and certification.</t>
        </is>
      </c>
    </row>
    <row r="3" ht="15" customHeight="1" s="54">
      <c r="A3" s="76" t="inlineStr">
        <is>
          <t>Yellow cells are yours to change. The figures in them now are a worked example (2 ha in Chegutu, Zimbabwe, US dollars) - replace them with your own. White cells calculate.</t>
        </is>
      </c>
    </row>
    <row r="4" ht="15" customHeight="1" s="54">
      <c r="A4" s="114" t="inlineStr">
        <is>
          <t>Once certified, your certificate number is recognised on Musika, Mashofe.com, Moeletsi Africa and Chinyama.com.</t>
        </is>
      </c>
    </row>
    <row r="5" ht="15" customHeight="1" s="54">
      <c r="A5" s="77" t="inlineStr">
        <is>
          <t>The venture</t>
        </is>
      </c>
    </row>
    <row r="6" ht="15" customHeight="1" s="54">
      <c r="A6" s="78" t="inlineStr">
        <is>
          <t>Venture</t>
        </is>
      </c>
      <c r="B6" s="80">
        <f>Settings!B10</f>
        <v/>
      </c>
    </row>
    <row r="7" ht="15" customHeight="1" s="54">
      <c r="A7" s="78" t="inlineStr">
        <is>
          <t>Owner</t>
        </is>
      </c>
      <c r="B7" s="80">
        <f>Settings!B11</f>
        <v/>
      </c>
    </row>
    <row r="8" ht="15" customHeight="1" s="54">
      <c r="A8" s="78" t="inlineStr">
        <is>
          <t>Location</t>
        </is>
      </c>
      <c r="B8" s="80">
        <f>Settings!B12</f>
        <v/>
      </c>
    </row>
    <row r="9" ht="15" customHeight="1" s="54">
      <c r="A9" s="78" t="inlineStr">
        <is>
          <t>Country</t>
        </is>
      </c>
      <c r="B9" s="80">
        <f>Settings!B6</f>
        <v/>
      </c>
    </row>
    <row r="10" ht="15" customHeight="1" s="54">
      <c r="A10" s="78" t="inlineStr">
        <is>
          <t>Currency</t>
        </is>
      </c>
      <c r="B10" s="80">
        <f>Settings!B7</f>
        <v/>
      </c>
    </row>
    <row r="11" ht="15" customHeight="1" s="54">
      <c r="A11" s="78" t="inlineStr">
        <is>
          <t>Land (ha)</t>
        </is>
      </c>
      <c r="B11" s="89">
        <f>Settings!B8</f>
        <v/>
      </c>
    </row>
    <row r="12" ht="15" customHeight="1" s="54">
      <c r="A12" s="78" t="inlineStr">
        <is>
          <t>Major</t>
        </is>
      </c>
      <c r="B12" s="80">
        <f>Settings!B9</f>
        <v/>
      </c>
    </row>
    <row r="13"/>
    <row r="14" ht="15" customHeight="1" s="54">
      <c r="A14" s="77" t="inlineStr">
        <is>
          <t>The numbers</t>
        </is>
      </c>
    </row>
    <row r="15" ht="15" customHeight="1" s="54">
      <c r="A15" s="73" t="inlineStr">
        <is>
          <t>Measure</t>
        </is>
      </c>
      <c r="B15" s="73" t="inlineStr">
        <is>
          <t>Result</t>
        </is>
      </c>
      <c r="C15" s="73" t="inlineStr">
        <is>
          <t>Source calculator</t>
        </is>
      </c>
    </row>
    <row r="16" ht="15" customHeight="1" s="54">
      <c r="A16" s="78" t="inlineStr">
        <is>
          <t>Land use: total gross margin per year</t>
        </is>
      </c>
      <c r="B16" s="88">
        <f>'T-C-01 Land Use'!B18</f>
        <v/>
      </c>
      <c r="C16" s="85" t="inlineStr">
        <is>
          <t>T-C-01</t>
        </is>
      </c>
    </row>
    <row r="17" ht="15" customHeight="1" s="54">
      <c r="A17" s="78" t="inlineStr">
        <is>
          <t>Land use: value if leased out instead</t>
        </is>
      </c>
      <c r="B17" s="88">
        <f>'T-C-01 Land Use'!B19</f>
        <v/>
      </c>
      <c r="C17" s="85" t="inlineStr">
        <is>
          <t>T-C-01</t>
        </is>
      </c>
    </row>
    <row r="18" ht="15" customHeight="1" s="54">
      <c r="A18" s="78" t="inlineStr">
        <is>
          <t>Start-up capital</t>
        </is>
      </c>
      <c r="B18" s="88">
        <f>'T-C-02 Start-Up Capital'!B24</f>
        <v/>
      </c>
      <c r="C18" s="85" t="inlineStr">
        <is>
          <t>T-C-02</t>
        </is>
      </c>
    </row>
    <row r="19" ht="15" customHeight="1" s="54">
      <c r="A19" s="78" t="inlineStr">
        <is>
          <t>Funding gap</t>
        </is>
      </c>
      <c r="B19" s="88">
        <f>'T-C-02 Start-Up Capital'!B26</f>
        <v/>
      </c>
      <c r="C19" s="85" t="inlineStr">
        <is>
          <t>T-C-02</t>
        </is>
      </c>
    </row>
    <row r="20" ht="15" customHeight="1" s="54">
      <c r="A20" s="78" t="inlineStr">
        <is>
          <t>Monthly loan repayment</t>
        </is>
      </c>
      <c r="B20" s="88">
        <f>'T-C-03 Loan'!B9</f>
        <v/>
      </c>
      <c r="C20" s="85" t="inlineStr">
        <is>
          <t>T-C-03</t>
        </is>
      </c>
    </row>
    <row r="21" ht="15" customHeight="1" s="54">
      <c r="A21" s="78" t="inlineStr">
        <is>
          <t>Total interest cost</t>
        </is>
      </c>
      <c r="B21" s="88">
        <f>'T-C-03 Loan'!B11</f>
        <v/>
      </c>
      <c r="C21" s="85" t="inlineStr">
        <is>
          <t>T-C-03</t>
        </is>
      </c>
    </row>
    <row r="22" ht="15" customHeight="1" s="54">
      <c r="A22" s="78" t="inlineStr">
        <is>
          <t>Lowest cash balance in year one</t>
        </is>
      </c>
      <c r="B22" s="88">
        <f>'T-C-04 Cash Flow'!B31</f>
        <v/>
      </c>
      <c r="C22" s="85" t="inlineStr">
        <is>
          <t>T-C-04</t>
        </is>
      </c>
    </row>
    <row r="23" ht="15" customHeight="1" s="54">
      <c r="A23" s="78" t="inlineStr">
        <is>
          <t>Farm-gate price, best buyer</t>
        </is>
      </c>
      <c r="B23" s="80">
        <f>'T-C-05 Delivered Cost'!B26</f>
        <v/>
      </c>
      <c r="C23" s="85" t="inlineStr">
        <is>
          <t>T-C-05</t>
        </is>
      </c>
    </row>
    <row r="24" ht="15" customHeight="1" s="54">
      <c r="A24" s="78" t="inlineStr">
        <is>
          <t>Break-even volume</t>
        </is>
      </c>
      <c r="B24" s="88">
        <f>'T-C-06 Break-Even'!B10</f>
        <v/>
      </c>
      <c r="C24" s="85" t="inlineStr">
        <is>
          <t>T-C-06</t>
        </is>
      </c>
    </row>
    <row r="25" ht="15" customHeight="1" s="54">
      <c r="A25" s="78" t="inlineStr">
        <is>
          <t>Expected cost of risk per year</t>
        </is>
      </c>
      <c r="B25" s="88">
        <f>'T-C-07 Risk Register'!B17</f>
        <v/>
      </c>
      <c r="C25" s="85" t="inlineStr">
        <is>
          <t>T-C-07</t>
        </is>
      </c>
    </row>
    <row r="26" ht="15" customHeight="1" s="54">
      <c r="A26" s="78" t="inlineStr">
        <is>
          <t>Gross margin with prices down 20% and costs up 20%</t>
        </is>
      </c>
      <c r="B26" s="88">
        <f>'T-C-07 Risk Register'!B25</f>
        <v/>
      </c>
      <c r="C26" s="85" t="inlineStr">
        <is>
          <t>T-C-07</t>
        </is>
      </c>
    </row>
    <row r="27" ht="15" customHeight="1" s="54">
      <c r="A27" s="78" t="inlineStr">
        <is>
          <t>Main enterprise: gross margin per unit</t>
        </is>
      </c>
      <c r="B27" s="88">
        <f>'Enterprise Budget'!E34</f>
        <v/>
      </c>
      <c r="C27" s="85" t="inlineStr">
        <is>
          <t>Enterprise Budget</t>
        </is>
      </c>
    </row>
    <row r="28"/>
    <row r="29" ht="15" customHeight="1" s="54">
      <c r="A29" s="77" t="inlineStr">
        <is>
          <t>Readiness checks</t>
        </is>
      </c>
    </row>
    <row r="30" ht="15" customHeight="1" s="54">
      <c r="A30" s="78" t="inlineStr">
        <is>
          <t>Land plan earns more than leasing out</t>
        </is>
      </c>
      <c r="B30" s="101">
        <f>IF('T-C-01 Land Use'!B18&gt;'T-C-01 Land Use'!B19,"Pass","Fail")</f>
        <v/>
      </c>
    </row>
    <row r="31" ht="15" customHeight="1" s="54">
      <c r="A31" s="78" t="inlineStr">
        <is>
          <t>Hectares not over-allocated</t>
        </is>
      </c>
      <c r="B31" s="101">
        <f>IF('T-C-01 Land Use'!B16&lt;='T-C-01 Land Use'!B5,"Pass","Fail")</f>
        <v/>
      </c>
    </row>
    <row r="32" ht="15" customHeight="1" s="54">
      <c r="A32" s="78" t="inlineStr">
        <is>
          <t>Cash stays positive through year one</t>
        </is>
      </c>
      <c r="B32" s="101">
        <f>IF('T-C-04 Cash Flow'!B31&gt;=0,"Pass","Fail")</f>
        <v/>
      </c>
    </row>
    <row r="33" ht="15" customHeight="1" s="54">
      <c r="A33" s="78" t="inlineStr">
        <is>
          <t>Expected yield above break-even yield</t>
        </is>
      </c>
      <c r="B33" s="101">
        <f>IF('T-C-06 Break-Even'!B16&gt;'T-C-06 Break-Even'!B15,"Pass","Fail")</f>
        <v/>
      </c>
    </row>
    <row r="34" ht="15" customHeight="1" s="54">
      <c r="A34" s="78" t="inlineStr">
        <is>
          <t>Survives the stress test</t>
        </is>
      </c>
      <c r="B34" s="101">
        <f>IF('T-C-07 Risk Register'!B25&gt;0,"Pass","Fail")</f>
        <v/>
      </c>
    </row>
    <row r="35" ht="15" customHeight="1" s="54">
      <c r="A35" s="78" t="inlineStr">
        <is>
          <t>Main enterprise gross margin is positive</t>
        </is>
      </c>
      <c r="B35" s="101">
        <f>IF('Enterprise Budget'!E34&gt;0,"Pass","Fail")</f>
        <v/>
      </c>
    </row>
    <row r="36" ht="15" customHeight="1" s="54">
      <c r="A36" s="91" t="inlineStr">
        <is>
          <t>Checks passed</t>
        </is>
      </c>
      <c r="B36" s="101">
        <f>COUNTIF(B30:B35,"Pass")&amp;" of 6"</f>
        <v/>
      </c>
    </row>
    <row r="37" ht="15" customHeight="1" s="54">
      <c r="A37" s="91" t="inlineStr">
        <is>
          <t>Plan status</t>
        </is>
      </c>
      <c r="B37" s="101">
        <f>IF(COUNTIF(B30:B35,"Pass")=6,"Ready to submit for certification","Fix the failed checks before submitting")</f>
        <v/>
      </c>
    </row>
    <row r="38"/>
    <row r="39" ht="15" customHeight="1" s="54">
      <c r="A39" s="77" t="inlineStr">
        <is>
          <t>The written plan</t>
        </is>
      </c>
    </row>
    <row r="40" ht="26.25" customHeight="1" s="54">
      <c r="A40" s="78" t="inlineStr">
        <is>
          <t>Who buys, at what price and on what terms</t>
        </is>
      </c>
      <c r="B40" s="115" t="inlineStr">
        <is>
          <t>Seed company contract for seed maize; local retailers for eggs and broilers</t>
        </is>
      </c>
      <c r="C40" s="116" t="n"/>
    </row>
    <row r="41" ht="15" customHeight="1" s="54">
      <c r="A41" s="78" t="inlineStr">
        <is>
          <t>Land right and what it proves to a lender</t>
        </is>
      </c>
      <c r="B41" s="115" t="inlineStr">
        <is>
          <t>Inherited family land - title or lease document to be confirmed</t>
        </is>
      </c>
      <c r="C41" s="116" t="n"/>
    </row>
    <row r="42" ht="15" customHeight="1" s="54">
      <c r="A42" s="78" t="inlineStr">
        <is>
          <t>Where the money comes from</t>
        </is>
      </c>
      <c r="B42" s="115" t="inlineStr">
        <is>
          <t>Own funds plus an equipment loan</t>
        </is>
      </c>
      <c r="C42" s="116" t="n"/>
    </row>
    <row r="43" ht="15" customHeight="1" s="54">
      <c r="A43" s="78" t="inlineStr">
        <is>
          <t>The single biggest risk and the answer to it</t>
        </is>
      </c>
      <c r="B43" s="115" t="inlineStr">
        <is>
          <t>Drought - drip irrigation on vegetables and a sorghum block</t>
        </is>
      </c>
      <c r="C43" s="116" t="n"/>
    </row>
    <row r="44" ht="64.5" customHeight="1" s="54">
      <c r="A44" s="78" t="inlineStr">
        <is>
          <t>Who works on the venture and how the community benefits</t>
        </is>
      </c>
      <c r="B44" s="115" t="inlineStr">
        <is>
          <t>Six local workers trained to run the plant; neighbours supply raw material; borehole shared</t>
        </is>
      </c>
    </row>
    <row r="45"/>
    <row r="46" ht="15" customHeight="1" s="54">
      <c r="A46" s="77" t="inlineStr">
        <is>
          <t>People and community</t>
        </is>
      </c>
    </row>
    <row r="47" ht="15" customHeight="1" s="54">
      <c r="A47" s="78" t="inlineStr">
        <is>
          <t>Total jobs in the venture</t>
        </is>
      </c>
      <c r="B47" s="109">
        <f>'T-C-08 People and Labour'!B24</f>
        <v/>
      </c>
      <c r="C47" s="85" t="inlineStr">
        <is>
          <t>T-C-08</t>
        </is>
      </c>
    </row>
    <row r="48" ht="15" customHeight="1" s="54">
      <c r="A48" s="78" t="inlineStr">
        <is>
          <t>Share of jobs held locally</t>
        </is>
      </c>
      <c r="B48" s="104">
        <f>'T-C-08 People and Labour'!B25</f>
        <v/>
      </c>
      <c r="C48" s="85" t="inlineStr">
        <is>
          <t>T-C-08</t>
        </is>
      </c>
    </row>
    <row r="49" ht="15" customHeight="1" s="54">
      <c r="A49" s="78" t="inlineStr">
        <is>
          <t>Total people cost per year</t>
        </is>
      </c>
      <c r="B49" s="103">
        <f>'T-C-08 People and Labour'!B30</f>
        <v/>
      </c>
      <c r="C49" s="85" t="inlineStr">
        <is>
          <t>T-C-08</t>
        </is>
      </c>
    </row>
    <row r="50" ht="15" customHeight="1" s="54">
      <c r="A50" s="78" t="inlineStr">
        <is>
          <t>Money reaching the community per year</t>
        </is>
      </c>
      <c r="B50" s="103">
        <f>'T-C-08 People and Labour'!B28</f>
        <v/>
      </c>
      <c r="C50" s="85" t="inlineStr">
        <is>
          <t>T-C-08</t>
        </is>
      </c>
    </row>
  </sheetData>
  <mergeCells count="4">
    <mergeCell ref="B41:C41"/>
    <mergeCell ref="B40:C40"/>
    <mergeCell ref="B43:C43"/>
    <mergeCell ref="B42:C42"/>
  </mergeCells>
  <conditionalFormatting sqref="B30:B35">
    <cfRule type="cellIs" rank="0" priority="2" equalAverage="0" operator="equal" aboveAverage="0" dxfId="5" text="" percent="0" bottom="0">
      <formula>"Pass"</formula>
    </cfRule>
    <cfRule type="cellIs" rank="0" priority="3" equalAverage="0" operator="equal" aboveAverage="0" dxfId="4" text="" percent="0" bottom="0">
      <formula>"Fail"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&amp;R&amp;A</oddHeader>
    <oddFooter>&amp;LRIMAI Agribusiness School  |  The Toolkit v1.4&amp;R&amp;P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2026-10-05T11:43:56Z</dcterms:created>
  <dcterms:modified xmlns:dcterms="http://purl.org/dc/terms/" xmlns:xsi="http://www.w3.org/2001/XMLSchema-instance" xsi:type="dcterms:W3CDTF">2026-10-07T14:30:01Z</dcterms:modified>
  <cp:revision>0</cp:revision>
</cp:coreProperties>
</file>